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atewidePlanning\Federal Grant Applications\INFRA\2021\FRA IR70-71 Big Build\BCA\"/>
    </mc:Choice>
  </mc:AlternateContent>
  <xr:revisionPtr revIDLastSave="0" documentId="13_ncr:1_{4FD21021-9741-4262-A745-D4CA1E894AA8}" xr6:coauthVersionLast="36" xr6:coauthVersionMax="36" xr10:uidLastSave="{00000000-0000-0000-0000-000000000000}"/>
  <bookViews>
    <workbookView xWindow="-680" yWindow="4350" windowWidth="15600" windowHeight="7140" xr2:uid="{00000000-000D-0000-FFFF-FFFF00000000}"/>
  </bookViews>
  <sheets>
    <sheet name="Cost Benefit Analysis Summary" sheetId="9" r:id="rId1"/>
    <sheet name=" Delay Reduction" sheetId="8" r:id="rId2"/>
    <sheet name="Operating Cost Savings" sheetId="29" r:id="rId3"/>
    <sheet name="Safety Summary" sheetId="32" r:id="rId4"/>
    <sheet name="Other Emissions Reduction" sheetId="28" r:id="rId5"/>
    <sheet name="NHTS2009" sheetId="39" r:id="rId6"/>
    <sheet name="StreetLight Insight 2019" sheetId="40" r:id="rId7"/>
    <sheet name="BikePed" sheetId="38" r:id="rId8"/>
    <sheet name="Operations and Maintenance" sheetId="36" r:id="rId9"/>
    <sheet name="Tree" sheetId="37" r:id="rId10"/>
    <sheet name="Previous Costs" sheetId="34" r:id="rId11"/>
    <sheet name="Future Project Costs" sheetId="35" r:id="rId12"/>
    <sheet name="Monitized Valu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38" l="1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13" i="38"/>
  <c r="I50" i="40"/>
  <c r="I51" i="40" s="1"/>
  <c r="I52" i="40" s="1"/>
  <c r="I53" i="40" s="1"/>
  <c r="I49" i="40"/>
  <c r="H49" i="40"/>
  <c r="H50" i="40" s="1"/>
  <c r="H51" i="40" s="1"/>
  <c r="H52" i="40" s="1"/>
  <c r="H53" i="40" s="1"/>
  <c r="H28" i="40"/>
  <c r="H29" i="40" s="1"/>
  <c r="H30" i="40" s="1"/>
  <c r="H31" i="40" s="1"/>
  <c r="H32" i="40" s="1"/>
  <c r="H33" i="40" s="1"/>
  <c r="H34" i="40" s="1"/>
  <c r="H35" i="40" s="1"/>
  <c r="H36" i="40" s="1"/>
  <c r="H37" i="40" s="1"/>
  <c r="H38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27" i="40"/>
  <c r="I28" i="40"/>
  <c r="I29" i="40"/>
  <c r="I30" i="40"/>
  <c r="I31" i="40"/>
  <c r="I32" i="40" s="1"/>
  <c r="I33" i="40" s="1"/>
  <c r="I34" i="40" s="1"/>
  <c r="I35" i="40" s="1"/>
  <c r="I36" i="40" s="1"/>
  <c r="I37" i="40" s="1"/>
  <c r="I38" i="40" s="1"/>
  <c r="I39" i="40" s="1"/>
  <c r="I40" i="40" s="1"/>
  <c r="I41" i="40" s="1"/>
  <c r="I42" i="40" s="1"/>
  <c r="I43" i="40" s="1"/>
  <c r="I44" i="40" s="1"/>
  <c r="I45" i="40" s="1"/>
  <c r="I46" i="40" s="1"/>
  <c r="I47" i="40" s="1"/>
  <c r="I48" i="40" s="1"/>
  <c r="I27" i="40"/>
  <c r="I26" i="40"/>
  <c r="H19" i="40"/>
  <c r="E19" i="40"/>
  <c r="D19" i="40"/>
  <c r="H18" i="40"/>
  <c r="E18" i="40"/>
  <c r="D18" i="40"/>
  <c r="H13" i="40"/>
  <c r="H20" i="40" s="1"/>
  <c r="G13" i="40"/>
  <c r="G20" i="40" s="1"/>
  <c r="F13" i="40"/>
  <c r="F20" i="40" s="1"/>
  <c r="E13" i="40"/>
  <c r="E20" i="40" s="1"/>
  <c r="D13" i="40"/>
  <c r="I13" i="40" s="1"/>
  <c r="C13" i="40"/>
  <c r="C20" i="40" s="1"/>
  <c r="H12" i="40"/>
  <c r="G12" i="40"/>
  <c r="G19" i="40" s="1"/>
  <c r="F12" i="40"/>
  <c r="F19" i="40" s="1"/>
  <c r="E12" i="40"/>
  <c r="D12" i="40"/>
  <c r="C12" i="40"/>
  <c r="C19" i="40" s="1"/>
  <c r="H11" i="40"/>
  <c r="G11" i="40"/>
  <c r="G18" i="40" s="1"/>
  <c r="F11" i="40"/>
  <c r="F18" i="40" s="1"/>
  <c r="E11" i="40"/>
  <c r="D11" i="40"/>
  <c r="C11" i="40"/>
  <c r="C18" i="40" s="1"/>
  <c r="I18" i="40" s="1"/>
  <c r="I6" i="40"/>
  <c r="I5" i="40"/>
  <c r="I4" i="40"/>
  <c r="I3" i="40"/>
  <c r="I27" i="39"/>
  <c r="H27" i="39"/>
  <c r="G27" i="39"/>
  <c r="F27" i="39"/>
  <c r="E27" i="39"/>
  <c r="D27" i="39"/>
  <c r="F21" i="39"/>
  <c r="H21" i="39" s="1"/>
  <c r="E21" i="39"/>
  <c r="D21" i="39"/>
  <c r="G21" i="39" s="1"/>
  <c r="E20" i="39"/>
  <c r="D20" i="39"/>
  <c r="F20" i="39" s="1"/>
  <c r="G20" i="39" s="1"/>
  <c r="E19" i="39"/>
  <c r="D19" i="39"/>
  <c r="E18" i="39"/>
  <c r="F18" i="39" s="1"/>
  <c r="G18" i="39" s="1"/>
  <c r="D18" i="39"/>
  <c r="F17" i="39"/>
  <c r="H17" i="39" s="1"/>
  <c r="E17" i="39"/>
  <c r="D17" i="39"/>
  <c r="G17" i="39" s="1"/>
  <c r="E16" i="39"/>
  <c r="D16" i="39"/>
  <c r="D22" i="39" s="1"/>
  <c r="I19" i="40" l="1"/>
  <c r="J19" i="40" s="1"/>
  <c r="I20" i="40"/>
  <c r="J20" i="40" s="1"/>
  <c r="D20" i="40"/>
  <c r="I12" i="40"/>
  <c r="I11" i="40"/>
  <c r="I14" i="40" s="1"/>
  <c r="H20" i="39"/>
  <c r="G19" i="39"/>
  <c r="F19" i="39"/>
  <c r="H19" i="39" s="1"/>
  <c r="F16" i="39"/>
  <c r="H18" i="39"/>
  <c r="E22" i="39"/>
  <c r="J18" i="40" l="1"/>
  <c r="I21" i="40"/>
  <c r="F22" i="39"/>
  <c r="G22" i="39" s="1"/>
  <c r="G16" i="39"/>
  <c r="H22" i="39"/>
  <c r="H16" i="39"/>
  <c r="I22" i="40" l="1"/>
  <c r="J21" i="40"/>
  <c r="P5" i="9" l="1"/>
  <c r="P6" i="9"/>
  <c r="P7" i="9"/>
  <c r="P8" i="9"/>
  <c r="P9" i="9"/>
  <c r="P4" i="9"/>
  <c r="N31" i="9"/>
  <c r="O4" i="9"/>
  <c r="O5" i="9"/>
  <c r="O6" i="9"/>
  <c r="O7" i="9"/>
  <c r="O8" i="9"/>
  <c r="O9" i="9"/>
  <c r="O3" i="9"/>
  <c r="J21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5" i="38"/>
  <c r="J36" i="38"/>
  <c r="J37" i="38"/>
  <c r="J38" i="38"/>
  <c r="J39" i="38"/>
  <c r="J40" i="38"/>
  <c r="J19" i="38"/>
  <c r="J18" i="38"/>
  <c r="J17" i="38"/>
  <c r="J16" i="38"/>
  <c r="J15" i="38"/>
  <c r="J14" i="38"/>
  <c r="J20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38" i="38"/>
  <c r="H39" i="38"/>
  <c r="H40" i="38"/>
  <c r="H14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20" i="38"/>
  <c r="F21" i="38"/>
  <c r="K21" i="38" s="1"/>
  <c r="N21" i="38" s="1"/>
  <c r="F22" i="38"/>
  <c r="K22" i="38" s="1"/>
  <c r="N22" i="38" s="1"/>
  <c r="F23" i="38"/>
  <c r="K23" i="38" s="1"/>
  <c r="N23" i="38" s="1"/>
  <c r="F24" i="38"/>
  <c r="K24" i="38" s="1"/>
  <c r="N24" i="38" s="1"/>
  <c r="F25" i="38"/>
  <c r="K25" i="38" s="1"/>
  <c r="N25" i="38" s="1"/>
  <c r="F26" i="38"/>
  <c r="K26" i="38" s="1"/>
  <c r="N26" i="38" s="1"/>
  <c r="F27" i="38"/>
  <c r="K27" i="38" s="1"/>
  <c r="N27" i="38" s="1"/>
  <c r="F28" i="38"/>
  <c r="K28" i="38" s="1"/>
  <c r="N28" i="38" s="1"/>
  <c r="F29" i="38"/>
  <c r="K29" i="38" s="1"/>
  <c r="N29" i="38" s="1"/>
  <c r="F30" i="38"/>
  <c r="K30" i="38" s="1"/>
  <c r="N30" i="38" s="1"/>
  <c r="F31" i="38"/>
  <c r="K31" i="38" s="1"/>
  <c r="N31" i="38" s="1"/>
  <c r="F32" i="38"/>
  <c r="K32" i="38" s="1"/>
  <c r="N32" i="38" s="1"/>
  <c r="F33" i="38"/>
  <c r="K33" i="38" s="1"/>
  <c r="N33" i="38" s="1"/>
  <c r="F34" i="38"/>
  <c r="K34" i="38" s="1"/>
  <c r="N34" i="38" s="1"/>
  <c r="F35" i="38"/>
  <c r="K35" i="38" s="1"/>
  <c r="N35" i="38" s="1"/>
  <c r="F36" i="38"/>
  <c r="K36" i="38" s="1"/>
  <c r="N36" i="38" s="1"/>
  <c r="F37" i="38"/>
  <c r="K37" i="38" s="1"/>
  <c r="N37" i="38" s="1"/>
  <c r="F38" i="38"/>
  <c r="K38" i="38" s="1"/>
  <c r="N38" i="38" s="1"/>
  <c r="F39" i="38"/>
  <c r="K39" i="38" s="1"/>
  <c r="N39" i="38" s="1"/>
  <c r="F40" i="38"/>
  <c r="K40" i="38" s="1"/>
  <c r="N40" i="38" s="1"/>
  <c r="F20" i="38"/>
  <c r="K20" i="38" s="1"/>
  <c r="N20" i="38" s="1"/>
  <c r="E21" i="38"/>
  <c r="I21" i="38" s="1"/>
  <c r="L21" i="38" s="1"/>
  <c r="M21" i="38" s="1"/>
  <c r="E22" i="38"/>
  <c r="I22" i="38" s="1"/>
  <c r="L22" i="38" s="1"/>
  <c r="M22" i="38" s="1"/>
  <c r="E23" i="38"/>
  <c r="I23" i="38" s="1"/>
  <c r="L23" i="38" s="1"/>
  <c r="M23" i="38" s="1"/>
  <c r="E24" i="38"/>
  <c r="I24" i="38" s="1"/>
  <c r="E25" i="38"/>
  <c r="I25" i="38" s="1"/>
  <c r="L25" i="38" s="1"/>
  <c r="M25" i="38" s="1"/>
  <c r="E26" i="38"/>
  <c r="I26" i="38" s="1"/>
  <c r="L26" i="38" s="1"/>
  <c r="M26" i="38" s="1"/>
  <c r="E27" i="38"/>
  <c r="I27" i="38" s="1"/>
  <c r="L27" i="38" s="1"/>
  <c r="M27" i="38" s="1"/>
  <c r="E28" i="38"/>
  <c r="I28" i="38" s="1"/>
  <c r="E29" i="38"/>
  <c r="I29" i="38" s="1"/>
  <c r="L29" i="38" s="1"/>
  <c r="M29" i="38" s="1"/>
  <c r="E30" i="38"/>
  <c r="I30" i="38" s="1"/>
  <c r="L30" i="38" s="1"/>
  <c r="M30" i="38" s="1"/>
  <c r="E31" i="38"/>
  <c r="I31" i="38" s="1"/>
  <c r="L31" i="38" s="1"/>
  <c r="M31" i="38" s="1"/>
  <c r="E32" i="38"/>
  <c r="I32" i="38" s="1"/>
  <c r="E33" i="38"/>
  <c r="I33" i="38" s="1"/>
  <c r="L33" i="38" s="1"/>
  <c r="M33" i="38" s="1"/>
  <c r="E34" i="38"/>
  <c r="I34" i="38" s="1"/>
  <c r="L34" i="38" s="1"/>
  <c r="M34" i="38" s="1"/>
  <c r="E35" i="38"/>
  <c r="I35" i="38" s="1"/>
  <c r="L35" i="38" s="1"/>
  <c r="M35" i="38" s="1"/>
  <c r="E36" i="38"/>
  <c r="I36" i="38" s="1"/>
  <c r="E37" i="38"/>
  <c r="I37" i="38" s="1"/>
  <c r="L37" i="38" s="1"/>
  <c r="M37" i="38" s="1"/>
  <c r="E38" i="38"/>
  <c r="I38" i="38" s="1"/>
  <c r="L38" i="38" s="1"/>
  <c r="M38" i="38" s="1"/>
  <c r="E39" i="38"/>
  <c r="I39" i="38" s="1"/>
  <c r="L39" i="38" s="1"/>
  <c r="M39" i="38" s="1"/>
  <c r="E40" i="38"/>
  <c r="I40" i="38" s="1"/>
  <c r="E20" i="38"/>
  <c r="I20" i="38" s="1"/>
  <c r="L20" i="38" s="1"/>
  <c r="M20" i="38" s="1"/>
  <c r="B14" i="38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B7" i="38"/>
  <c r="B24" i="34"/>
  <c r="O51" i="36"/>
  <c r="E7" i="36"/>
  <c r="P51" i="36"/>
  <c r="P48" i="36"/>
  <c r="P49" i="36"/>
  <c r="P50" i="36"/>
  <c r="P47" i="36"/>
  <c r="E27" i="36"/>
  <c r="L40" i="38" l="1"/>
  <c r="M40" i="38" s="1"/>
  <c r="L36" i="38"/>
  <c r="M36" i="38" s="1"/>
  <c r="O36" i="38" s="1"/>
  <c r="O26" i="9" s="1"/>
  <c r="P26" i="9" s="1"/>
  <c r="L32" i="38"/>
  <c r="M32" i="38" s="1"/>
  <c r="L28" i="38"/>
  <c r="M28" i="38" s="1"/>
  <c r="L24" i="38"/>
  <c r="M24" i="38" s="1"/>
  <c r="O39" i="38"/>
  <c r="O29" i="9" s="1"/>
  <c r="P29" i="9" s="1"/>
  <c r="O35" i="38"/>
  <c r="O25" i="9" s="1"/>
  <c r="P25" i="9" s="1"/>
  <c r="O31" i="38"/>
  <c r="O21" i="9" s="1"/>
  <c r="P21" i="9" s="1"/>
  <c r="O27" i="38"/>
  <c r="O17" i="9" s="1"/>
  <c r="P17" i="9" s="1"/>
  <c r="O23" i="38"/>
  <c r="O13" i="9" s="1"/>
  <c r="P13" i="9" s="1"/>
  <c r="O38" i="38"/>
  <c r="O28" i="9" s="1"/>
  <c r="P28" i="9" s="1"/>
  <c r="O34" i="38"/>
  <c r="O24" i="9" s="1"/>
  <c r="P24" i="9" s="1"/>
  <c r="O30" i="38"/>
  <c r="O20" i="9" s="1"/>
  <c r="P20" i="9" s="1"/>
  <c r="O26" i="38"/>
  <c r="O16" i="9" s="1"/>
  <c r="P16" i="9" s="1"/>
  <c r="O22" i="38"/>
  <c r="O12" i="9" s="1"/>
  <c r="P12" i="9" s="1"/>
  <c r="O20" i="38"/>
  <c r="O37" i="38"/>
  <c r="O27" i="9" s="1"/>
  <c r="P27" i="9" s="1"/>
  <c r="O33" i="38"/>
  <c r="O23" i="9" s="1"/>
  <c r="P23" i="9" s="1"/>
  <c r="O29" i="38"/>
  <c r="O19" i="9" s="1"/>
  <c r="P19" i="9" s="1"/>
  <c r="O25" i="38"/>
  <c r="O15" i="9" s="1"/>
  <c r="P15" i="9" s="1"/>
  <c r="O21" i="38"/>
  <c r="O11" i="9" s="1"/>
  <c r="P11" i="9" s="1"/>
  <c r="O40" i="38"/>
  <c r="O30" i="9" s="1"/>
  <c r="P30" i="9" s="1"/>
  <c r="O32" i="38"/>
  <c r="O22" i="9" s="1"/>
  <c r="P22" i="9" s="1"/>
  <c r="O28" i="38"/>
  <c r="O18" i="9" s="1"/>
  <c r="P18" i="9" s="1"/>
  <c r="O24" i="38"/>
  <c r="O14" i="9" s="1"/>
  <c r="P14" i="9" s="1"/>
  <c r="J10" i="37"/>
  <c r="J5" i="37"/>
  <c r="J6" i="37"/>
  <c r="J7" i="37"/>
  <c r="J8" i="37"/>
  <c r="J9" i="37"/>
  <c r="J4" i="37"/>
  <c r="H10" i="37"/>
  <c r="M42" i="8"/>
  <c r="L42" i="8"/>
  <c r="H30" i="29"/>
  <c r="I30" i="29" s="1"/>
  <c r="E30" i="29"/>
  <c r="H38" i="28"/>
  <c r="G38" i="28"/>
  <c r="F38" i="28"/>
  <c r="E38" i="28"/>
  <c r="T30" i="28"/>
  <c r="O30" i="28"/>
  <c r="J30" i="28"/>
  <c r="E30" i="28"/>
  <c r="Q37" i="8"/>
  <c r="P37" i="8"/>
  <c r="I36" i="8"/>
  <c r="G36" i="8"/>
  <c r="O10" i="9" l="1"/>
  <c r="O41" i="38"/>
  <c r="I32" i="9"/>
  <c r="A5" i="36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L38" i="36"/>
  <c r="L37" i="36"/>
  <c r="J30" i="29"/>
  <c r="P10" i="9" l="1"/>
  <c r="O31" i="9"/>
  <c r="P31" i="9" s="1"/>
  <c r="C39" i="9"/>
  <c r="C38" i="9"/>
  <c r="C37" i="9"/>
  <c r="A19" i="34"/>
  <c r="A18" i="34"/>
  <c r="F9" i="36" l="1"/>
  <c r="G9" i="36" s="1"/>
  <c r="N3" i="9"/>
  <c r="N8" i="9"/>
  <c r="N9" i="9"/>
  <c r="N5" i="9"/>
  <c r="N6" i="9"/>
  <c r="N7" i="9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N4" i="9"/>
  <c r="A20" i="37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I5" i="37"/>
  <c r="I9" i="37"/>
  <c r="I4" i="37"/>
  <c r="H5" i="37"/>
  <c r="H6" i="37"/>
  <c r="I6" i="37" s="1"/>
  <c r="H7" i="37"/>
  <c r="I7" i="37" s="1"/>
  <c r="H8" i="37"/>
  <c r="I8" i="37" s="1"/>
  <c r="H9" i="37"/>
  <c r="G5" i="37"/>
  <c r="G10" i="37" s="1"/>
  <c r="G6" i="37"/>
  <c r="G7" i="37"/>
  <c r="G8" i="37"/>
  <c r="G9" i="37"/>
  <c r="H4" i="37"/>
  <c r="G4" i="37"/>
  <c r="G28" i="37" l="1"/>
  <c r="H28" i="37" s="1"/>
  <c r="G32" i="37"/>
  <c r="H32" i="37" s="1"/>
  <c r="G36" i="37"/>
  <c r="H36" i="37" s="1"/>
  <c r="G40" i="37"/>
  <c r="H40" i="37" s="1"/>
  <c r="G44" i="37"/>
  <c r="H44" i="37" s="1"/>
  <c r="G27" i="37"/>
  <c r="H27" i="37" s="1"/>
  <c r="G39" i="37"/>
  <c r="H39" i="37" s="1"/>
  <c r="G29" i="37"/>
  <c r="H29" i="37" s="1"/>
  <c r="G33" i="37"/>
  <c r="H33" i="37" s="1"/>
  <c r="G37" i="37"/>
  <c r="H37" i="37" s="1"/>
  <c r="G41" i="37"/>
  <c r="H41" i="37" s="1"/>
  <c r="G45" i="37"/>
  <c r="H45" i="37" s="1"/>
  <c r="G31" i="37"/>
  <c r="H31" i="37" s="1"/>
  <c r="G43" i="37"/>
  <c r="H43" i="37" s="1"/>
  <c r="G26" i="37"/>
  <c r="H26" i="37" s="1"/>
  <c r="G30" i="37"/>
  <c r="H30" i="37" s="1"/>
  <c r="G34" i="37"/>
  <c r="H34" i="37" s="1"/>
  <c r="G38" i="37"/>
  <c r="H38" i="37" s="1"/>
  <c r="G42" i="37"/>
  <c r="H42" i="37" s="1"/>
  <c r="G46" i="37"/>
  <c r="H46" i="37" s="1"/>
  <c r="G35" i="37"/>
  <c r="H35" i="37" s="1"/>
  <c r="I10" i="37"/>
  <c r="H6" i="9"/>
  <c r="H9" i="9"/>
  <c r="L36" i="36"/>
  <c r="L35" i="36"/>
  <c r="L34" i="36"/>
  <c r="L33" i="36"/>
  <c r="L32" i="36"/>
  <c r="L31" i="36"/>
  <c r="L41" i="36" s="1"/>
  <c r="D17" i="36" s="1"/>
  <c r="L23" i="36"/>
  <c r="L22" i="36"/>
  <c r="L21" i="36"/>
  <c r="L16" i="36"/>
  <c r="N8" i="36"/>
  <c r="L8" i="36"/>
  <c r="N7" i="36"/>
  <c r="L7" i="36" s="1"/>
  <c r="N6" i="36"/>
  <c r="L6" i="36" s="1"/>
  <c r="F6" i="36"/>
  <c r="G6" i="36" s="1"/>
  <c r="B6" i="36"/>
  <c r="B7" i="36" s="1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F5" i="36"/>
  <c r="G5" i="36" s="1"/>
  <c r="B5" i="36"/>
  <c r="F4" i="36"/>
  <c r="G4" i="36" s="1"/>
  <c r="C43" i="9"/>
  <c r="D43" i="9" s="1"/>
  <c r="H4" i="9" l="1"/>
  <c r="H5" i="9"/>
  <c r="L24" i="36"/>
  <c r="N26" i="36" s="1"/>
  <c r="L40" i="36"/>
  <c r="D7" i="36" s="1"/>
  <c r="F7" i="36" s="1"/>
  <c r="L10" i="36"/>
  <c r="L1" i="36" s="1"/>
  <c r="C18" i="36" s="1"/>
  <c r="F18" i="36" s="1"/>
  <c r="C27" i="37"/>
  <c r="E27" i="37" s="1"/>
  <c r="F27" i="37" s="1"/>
  <c r="I27" i="37" s="1"/>
  <c r="N11" i="9" s="1"/>
  <c r="C31" i="37"/>
  <c r="E31" i="37" s="1"/>
  <c r="F31" i="37" s="1"/>
  <c r="I31" i="37" s="1"/>
  <c r="N15" i="9" s="1"/>
  <c r="C35" i="37"/>
  <c r="E35" i="37" s="1"/>
  <c r="F35" i="37" s="1"/>
  <c r="I35" i="37" s="1"/>
  <c r="N19" i="9" s="1"/>
  <c r="C39" i="37"/>
  <c r="E39" i="37" s="1"/>
  <c r="F39" i="37" s="1"/>
  <c r="I39" i="37" s="1"/>
  <c r="N23" i="9" s="1"/>
  <c r="C43" i="37"/>
  <c r="E43" i="37" s="1"/>
  <c r="F43" i="37" s="1"/>
  <c r="I43" i="37" s="1"/>
  <c r="N27" i="9" s="1"/>
  <c r="C26" i="37"/>
  <c r="E26" i="37" s="1"/>
  <c r="F26" i="37" s="1"/>
  <c r="I26" i="37" s="1"/>
  <c r="C34" i="37"/>
  <c r="E34" i="37" s="1"/>
  <c r="F34" i="37" s="1"/>
  <c r="I34" i="37" s="1"/>
  <c r="N18" i="9" s="1"/>
  <c r="C46" i="37"/>
  <c r="E46" i="37" s="1"/>
  <c r="F46" i="37" s="1"/>
  <c r="I46" i="37" s="1"/>
  <c r="N30" i="9" s="1"/>
  <c r="C28" i="37"/>
  <c r="E28" i="37" s="1"/>
  <c r="F28" i="37" s="1"/>
  <c r="I28" i="37" s="1"/>
  <c r="N12" i="9" s="1"/>
  <c r="C32" i="37"/>
  <c r="E32" i="37" s="1"/>
  <c r="F32" i="37" s="1"/>
  <c r="I32" i="37" s="1"/>
  <c r="N16" i="9" s="1"/>
  <c r="C36" i="37"/>
  <c r="E36" i="37" s="1"/>
  <c r="F36" i="37" s="1"/>
  <c r="I36" i="37" s="1"/>
  <c r="N20" i="9" s="1"/>
  <c r="C40" i="37"/>
  <c r="E40" i="37" s="1"/>
  <c r="F40" i="37" s="1"/>
  <c r="I40" i="37" s="1"/>
  <c r="N24" i="9" s="1"/>
  <c r="C44" i="37"/>
  <c r="E44" i="37" s="1"/>
  <c r="F44" i="37" s="1"/>
  <c r="I44" i="37" s="1"/>
  <c r="N28" i="9" s="1"/>
  <c r="C30" i="37"/>
  <c r="E30" i="37" s="1"/>
  <c r="F30" i="37" s="1"/>
  <c r="I30" i="37" s="1"/>
  <c r="N14" i="9" s="1"/>
  <c r="C38" i="37"/>
  <c r="E38" i="37" s="1"/>
  <c r="F38" i="37" s="1"/>
  <c r="I38" i="37" s="1"/>
  <c r="N22" i="9" s="1"/>
  <c r="C29" i="37"/>
  <c r="E29" i="37" s="1"/>
  <c r="F29" i="37" s="1"/>
  <c r="I29" i="37" s="1"/>
  <c r="N13" i="9" s="1"/>
  <c r="C33" i="37"/>
  <c r="E33" i="37" s="1"/>
  <c r="F33" i="37" s="1"/>
  <c r="I33" i="37" s="1"/>
  <c r="N17" i="9" s="1"/>
  <c r="C37" i="37"/>
  <c r="E37" i="37" s="1"/>
  <c r="F37" i="37" s="1"/>
  <c r="I37" i="37" s="1"/>
  <c r="N21" i="9" s="1"/>
  <c r="C41" i="37"/>
  <c r="E41" i="37" s="1"/>
  <c r="F41" i="37" s="1"/>
  <c r="I41" i="37" s="1"/>
  <c r="N25" i="9" s="1"/>
  <c r="C45" i="37"/>
  <c r="E45" i="37" s="1"/>
  <c r="F45" i="37" s="1"/>
  <c r="I45" i="37" s="1"/>
  <c r="N29" i="9" s="1"/>
  <c r="C42" i="37"/>
  <c r="E42" i="37" s="1"/>
  <c r="F42" i="37" s="1"/>
  <c r="I42" i="37" s="1"/>
  <c r="N26" i="9" s="1"/>
  <c r="C28" i="36"/>
  <c r="F28" i="36" s="1"/>
  <c r="C15" i="36"/>
  <c r="F15" i="36" s="1"/>
  <c r="C11" i="36"/>
  <c r="F11" i="36" s="1"/>
  <c r="C10" i="36"/>
  <c r="F10" i="36" s="1"/>
  <c r="C19" i="36"/>
  <c r="F19" i="36" s="1"/>
  <c r="C17" i="36"/>
  <c r="C16" i="36"/>
  <c r="F16" i="36" s="1"/>
  <c r="C30" i="36"/>
  <c r="F30" i="36" s="1"/>
  <c r="C20" i="36"/>
  <c r="F20" i="36" s="1"/>
  <c r="C13" i="36"/>
  <c r="F13" i="36" s="1"/>
  <c r="C26" i="36"/>
  <c r="F26" i="36" s="1"/>
  <c r="C25" i="36"/>
  <c r="F25" i="36" s="1"/>
  <c r="C24" i="36"/>
  <c r="F24" i="36" s="1"/>
  <c r="C22" i="36"/>
  <c r="F22" i="36" s="1"/>
  <c r="C21" i="36"/>
  <c r="F21" i="36" s="1"/>
  <c r="C14" i="36"/>
  <c r="F14" i="36" s="1"/>
  <c r="E17" i="36"/>
  <c r="E31" i="36" s="1"/>
  <c r="N25" i="36"/>
  <c r="D31" i="36"/>
  <c r="N10" i="9" l="1"/>
  <c r="I47" i="37"/>
  <c r="H7" i="9"/>
  <c r="G7" i="36"/>
  <c r="G18" i="36"/>
  <c r="H18" i="9"/>
  <c r="G14" i="36"/>
  <c r="H14" i="9"/>
  <c r="G16" i="36"/>
  <c r="H16" i="9"/>
  <c r="G21" i="36"/>
  <c r="H21" i="9"/>
  <c r="G25" i="36"/>
  <c r="H25" i="9"/>
  <c r="G20" i="36"/>
  <c r="H20" i="9"/>
  <c r="G11" i="36"/>
  <c r="H11" i="9"/>
  <c r="G13" i="36"/>
  <c r="H13" i="9"/>
  <c r="G28" i="36"/>
  <c r="H28" i="9"/>
  <c r="G26" i="36"/>
  <c r="H26" i="9"/>
  <c r="G15" i="36"/>
  <c r="H15" i="9"/>
  <c r="G24" i="36"/>
  <c r="H24" i="9"/>
  <c r="G10" i="36"/>
  <c r="H10" i="9"/>
  <c r="G22" i="36"/>
  <c r="H22" i="9"/>
  <c r="G30" i="36"/>
  <c r="H30" i="9"/>
  <c r="G19" i="36"/>
  <c r="H19" i="9"/>
  <c r="C23" i="36"/>
  <c r="F23" i="36" s="1"/>
  <c r="C27" i="36"/>
  <c r="F27" i="36" s="1"/>
  <c r="C12" i="36"/>
  <c r="F12" i="36" s="1"/>
  <c r="C29" i="36"/>
  <c r="F29" i="36" s="1"/>
  <c r="F8" i="36"/>
  <c r="F17" i="36"/>
  <c r="H8" i="9" l="1"/>
  <c r="G8" i="36"/>
  <c r="C31" i="36"/>
  <c r="G23" i="36"/>
  <c r="H23" i="9"/>
  <c r="G29" i="36"/>
  <c r="H29" i="9"/>
  <c r="G31" i="36"/>
  <c r="G27" i="36"/>
  <c r="H27" i="9"/>
  <c r="G17" i="36"/>
  <c r="H17" i="9"/>
  <c r="G12" i="36"/>
  <c r="H12" i="9"/>
  <c r="T3" i="28"/>
  <c r="T4" i="28"/>
  <c r="T5" i="28"/>
  <c r="T6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7" i="28"/>
  <c r="T28" i="28"/>
  <c r="T29" i="28"/>
  <c r="T2" i="28"/>
  <c r="O3" i="28"/>
  <c r="O4" i="28"/>
  <c r="O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2" i="28"/>
  <c r="J3" i="28"/>
  <c r="J4" i="28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2" i="28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16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2" i="28"/>
  <c r="U4" i="28" l="1"/>
  <c r="U5" i="28"/>
  <c r="U6" i="28"/>
  <c r="U7" i="28"/>
  <c r="U8" i="28"/>
  <c r="U9" i="28"/>
  <c r="U10" i="28"/>
  <c r="U11" i="28"/>
  <c r="U12" i="28"/>
  <c r="U13" i="28"/>
  <c r="U14" i="28"/>
  <c r="U15" i="28"/>
  <c r="U16" i="28"/>
  <c r="U17" i="28"/>
  <c r="U18" i="28"/>
  <c r="U19" i="28"/>
  <c r="U20" i="28"/>
  <c r="U21" i="28"/>
  <c r="U22" i="28"/>
  <c r="U23" i="28"/>
  <c r="U24" i="28"/>
  <c r="U25" i="28"/>
  <c r="U26" i="28"/>
  <c r="U27" i="28"/>
  <c r="U28" i="28"/>
  <c r="U29" i="28"/>
  <c r="U3" i="28"/>
  <c r="P4" i="28"/>
  <c r="P5" i="28"/>
  <c r="P6" i="28"/>
  <c r="P7" i="28"/>
  <c r="P8" i="28"/>
  <c r="P9" i="28"/>
  <c r="P10" i="28"/>
  <c r="P11" i="28"/>
  <c r="P12" i="28"/>
  <c r="P13" i="28"/>
  <c r="P14" i="28"/>
  <c r="P15" i="28"/>
  <c r="P16" i="28"/>
  <c r="P17" i="28"/>
  <c r="P18" i="28"/>
  <c r="P19" i="28"/>
  <c r="P20" i="28"/>
  <c r="P21" i="28"/>
  <c r="P22" i="28"/>
  <c r="P23" i="28"/>
  <c r="P24" i="28"/>
  <c r="P25" i="28"/>
  <c r="P26" i="28"/>
  <c r="P27" i="28"/>
  <c r="P28" i="28"/>
  <c r="P29" i="28"/>
  <c r="P3" i="28"/>
  <c r="K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" i="28"/>
  <c r="C34" i="27"/>
  <c r="C35" i="27" s="1"/>
  <c r="C36" i="27" s="1"/>
  <c r="C37" i="27" s="1"/>
  <c r="C38" i="27" s="1"/>
  <c r="C39" i="27" s="1"/>
  <c r="C40" i="27" s="1"/>
  <c r="C41" i="27" s="1"/>
  <c r="C42" i="27" s="1"/>
  <c r="C43" i="27" s="1"/>
  <c r="C44" i="27" s="1"/>
  <c r="C45" i="27" s="1"/>
  <c r="C46" i="27" s="1"/>
  <c r="C47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C61" i="27" s="1"/>
  <c r="C62" i="27" s="1"/>
  <c r="C63" i="27" s="1"/>
  <c r="F30" i="9" l="1"/>
  <c r="H3" i="29" l="1"/>
  <c r="H4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2" i="29"/>
  <c r="V29" i="28" l="1"/>
  <c r="V28" i="28"/>
  <c r="D29" i="32"/>
  <c r="W29" i="28" l="1"/>
  <c r="M30" i="9" s="1"/>
  <c r="L30" i="9"/>
  <c r="W28" i="28"/>
  <c r="M29" i="9" s="1"/>
  <c r="L29" i="9"/>
  <c r="L28" i="28"/>
  <c r="Q29" i="28"/>
  <c r="Q28" i="28"/>
  <c r="G28" i="28"/>
  <c r="L29" i="28"/>
  <c r="G29" i="28"/>
  <c r="F29" i="9"/>
  <c r="D28" i="32"/>
  <c r="X29" i="28" l="1"/>
  <c r="X28" i="28"/>
  <c r="D19" i="34"/>
  <c r="E19" i="34"/>
  <c r="F19" i="34" l="1"/>
  <c r="F28" i="9"/>
  <c r="V27" i="28" l="1"/>
  <c r="V26" i="28"/>
  <c r="V24" i="28"/>
  <c r="V22" i="28"/>
  <c r="V20" i="28"/>
  <c r="V18" i="28"/>
  <c r="V16" i="28"/>
  <c r="V14" i="28"/>
  <c r="V12" i="28"/>
  <c r="V10" i="28"/>
  <c r="V8" i="28"/>
  <c r="V6" i="28"/>
  <c r="V4" i="28"/>
  <c r="V3" i="28"/>
  <c r="V5" i="28"/>
  <c r="V7" i="28"/>
  <c r="V9" i="28"/>
  <c r="V11" i="28"/>
  <c r="V13" i="28"/>
  <c r="V15" i="28"/>
  <c r="V17" i="28"/>
  <c r="V19" i="28"/>
  <c r="V21" i="28"/>
  <c r="V23" i="28"/>
  <c r="V25" i="28"/>
  <c r="V2" i="28"/>
  <c r="W17" i="28" l="1"/>
  <c r="M18" i="9" s="1"/>
  <c r="L18" i="9"/>
  <c r="W20" i="28"/>
  <c r="M21" i="9" s="1"/>
  <c r="L21" i="9"/>
  <c r="W23" i="28"/>
  <c r="M24" i="9" s="1"/>
  <c r="L24" i="9"/>
  <c r="W15" i="28"/>
  <c r="M16" i="9" s="1"/>
  <c r="L16" i="9"/>
  <c r="W7" i="28"/>
  <c r="M8" i="9" s="1"/>
  <c r="L8" i="9"/>
  <c r="W6" i="28"/>
  <c r="M7" i="9" s="1"/>
  <c r="L7" i="9"/>
  <c r="W14" i="28"/>
  <c r="M15" i="9" s="1"/>
  <c r="L15" i="9"/>
  <c r="W22" i="28"/>
  <c r="M23" i="9" s="1"/>
  <c r="L23" i="9"/>
  <c r="W25" i="28"/>
  <c r="M26" i="9" s="1"/>
  <c r="L26" i="9"/>
  <c r="W4" i="28"/>
  <c r="M5" i="9" s="1"/>
  <c r="L5" i="9"/>
  <c r="W12" i="28"/>
  <c r="M13" i="9" s="1"/>
  <c r="L13" i="9"/>
  <c r="W21" i="28"/>
  <c r="M22" i="9" s="1"/>
  <c r="L22" i="9"/>
  <c r="W13" i="28"/>
  <c r="M14" i="9" s="1"/>
  <c r="L14" i="9"/>
  <c r="W5" i="28"/>
  <c r="M6" i="9" s="1"/>
  <c r="L6" i="9"/>
  <c r="W8" i="28"/>
  <c r="M9" i="9" s="1"/>
  <c r="L9" i="9"/>
  <c r="W16" i="28"/>
  <c r="M17" i="9" s="1"/>
  <c r="L17" i="9"/>
  <c r="W24" i="28"/>
  <c r="M25" i="9" s="1"/>
  <c r="L25" i="9"/>
  <c r="W9" i="28"/>
  <c r="M10" i="9" s="1"/>
  <c r="L10" i="9"/>
  <c r="L3" i="9"/>
  <c r="W2" i="28"/>
  <c r="M3" i="9" s="1"/>
  <c r="W19" i="28"/>
  <c r="M20" i="9" s="1"/>
  <c r="L20" i="9"/>
  <c r="W11" i="28"/>
  <c r="M12" i="9" s="1"/>
  <c r="L12" i="9"/>
  <c r="W3" i="28"/>
  <c r="L4" i="9"/>
  <c r="W10" i="28"/>
  <c r="M11" i="9" s="1"/>
  <c r="L11" i="9"/>
  <c r="W18" i="28"/>
  <c r="M19" i="9" s="1"/>
  <c r="L19" i="9"/>
  <c r="W26" i="28"/>
  <c r="M27" i="9" s="1"/>
  <c r="L27" i="9"/>
  <c r="W27" i="28"/>
  <c r="M28" i="9" s="1"/>
  <c r="L28" i="9"/>
  <c r="G27" i="28"/>
  <c r="Q27" i="28"/>
  <c r="L27" i="28"/>
  <c r="M4" i="9" l="1"/>
  <c r="M31" i="9" s="1"/>
  <c r="W32" i="28"/>
  <c r="J38" i="28" s="1"/>
  <c r="L31" i="9"/>
  <c r="X27" i="28"/>
  <c r="C40" i="9" l="1"/>
  <c r="C41" i="9"/>
  <c r="C42" i="9"/>
  <c r="H31" i="9" l="1"/>
  <c r="D38" i="9"/>
  <c r="D41" i="9"/>
  <c r="D40" i="9"/>
  <c r="D39" i="9"/>
  <c r="D42" i="9"/>
  <c r="D37" i="9"/>
  <c r="D17" i="34"/>
  <c r="D18" i="34"/>
  <c r="D16" i="34"/>
  <c r="D15" i="34"/>
  <c r="D14" i="34"/>
  <c r="D13" i="34"/>
  <c r="D12" i="34"/>
  <c r="E5" i="8" l="1"/>
  <c r="E4" i="8"/>
  <c r="H36" i="8" s="1"/>
  <c r="B5" i="8"/>
  <c r="B4" i="8"/>
  <c r="K33" i="8" l="1"/>
  <c r="K35" i="8"/>
  <c r="K34" i="8"/>
  <c r="J33" i="8"/>
  <c r="J34" i="8"/>
  <c r="J35" i="8"/>
  <c r="E3" i="34"/>
  <c r="E4" i="34"/>
  <c r="E5" i="34"/>
  <c r="E6" i="34"/>
  <c r="E7" i="34"/>
  <c r="E8" i="34"/>
  <c r="E9" i="34"/>
  <c r="E10" i="34"/>
  <c r="E11" i="34"/>
  <c r="E12" i="34"/>
  <c r="E13" i="34"/>
  <c r="E14" i="34"/>
  <c r="E15" i="34"/>
  <c r="E16" i="34"/>
  <c r="E17" i="34"/>
  <c r="E18" i="34"/>
  <c r="F18" i="34" s="1"/>
  <c r="E2" i="34"/>
  <c r="A3" i="35" l="1"/>
  <c r="A4" i="35" s="1"/>
  <c r="A5" i="35" s="1"/>
  <c r="A6" i="35" s="1"/>
  <c r="A7" i="35" s="1"/>
  <c r="A8" i="35" s="1"/>
  <c r="A9" i="35" s="1"/>
  <c r="F4" i="34" l="1"/>
  <c r="A4" i="34"/>
  <c r="A5" i="34"/>
  <c r="A6" i="34"/>
  <c r="A7" i="34"/>
  <c r="A8" i="34"/>
  <c r="A9" i="34"/>
  <c r="A10" i="34"/>
  <c r="A11" i="34"/>
  <c r="A12" i="34"/>
  <c r="A13" i="34"/>
  <c r="A14" i="34"/>
  <c r="A15" i="34"/>
  <c r="A16" i="34"/>
  <c r="A17" i="34"/>
  <c r="A3" i="34"/>
  <c r="A2" i="34"/>
  <c r="F17" i="34" l="1"/>
  <c r="F13" i="34"/>
  <c r="F9" i="34"/>
  <c r="F5" i="34"/>
  <c r="F16" i="34"/>
  <c r="F12" i="34"/>
  <c r="F8" i="34"/>
  <c r="F15" i="34"/>
  <c r="F11" i="34"/>
  <c r="F7" i="34"/>
  <c r="F3" i="34"/>
  <c r="F2" i="34"/>
  <c r="F14" i="34"/>
  <c r="F10" i="34"/>
  <c r="F6" i="34"/>
  <c r="F20" i="34" l="1"/>
  <c r="C36" i="9" s="1"/>
  <c r="C44" i="9" s="1"/>
  <c r="D36" i="9" l="1"/>
  <c r="D45" i="9" s="1"/>
  <c r="L25" i="28"/>
  <c r="L26" i="28"/>
  <c r="Q26" i="28"/>
  <c r="G26" i="28"/>
  <c r="Q25" i="28"/>
  <c r="G25" i="28"/>
  <c r="X25" i="28" l="1"/>
  <c r="X26" i="28"/>
  <c r="A3" i="32"/>
  <c r="A4" i="32" s="1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G24" i="28" l="1"/>
  <c r="Q24" i="28"/>
  <c r="L24" i="28"/>
  <c r="X24" i="28" l="1"/>
  <c r="Q23" i="28" l="1"/>
  <c r="L23" i="28"/>
  <c r="G23" i="28"/>
  <c r="X23" i="28" l="1"/>
  <c r="F3" i="9"/>
  <c r="K11" i="8" l="1"/>
  <c r="K15" i="8"/>
  <c r="K19" i="8"/>
  <c r="K23" i="8"/>
  <c r="K27" i="8"/>
  <c r="K31" i="8"/>
  <c r="K12" i="8"/>
  <c r="K16" i="8"/>
  <c r="K20" i="8"/>
  <c r="K24" i="8"/>
  <c r="K28" i="8"/>
  <c r="K32" i="8"/>
  <c r="K9" i="8"/>
  <c r="K13" i="8"/>
  <c r="K17" i="8"/>
  <c r="K21" i="8"/>
  <c r="K25" i="8"/>
  <c r="K29" i="8"/>
  <c r="K10" i="8"/>
  <c r="K14" i="8"/>
  <c r="K18" i="8"/>
  <c r="K22" i="8"/>
  <c r="K26" i="8"/>
  <c r="K30" i="8"/>
  <c r="K8" i="8"/>
  <c r="J10" i="8"/>
  <c r="J14" i="8"/>
  <c r="J18" i="8"/>
  <c r="J22" i="8"/>
  <c r="J26" i="8"/>
  <c r="J30" i="8"/>
  <c r="J9" i="8"/>
  <c r="J11" i="8"/>
  <c r="J15" i="8"/>
  <c r="J19" i="8"/>
  <c r="J23" i="8"/>
  <c r="J27" i="8"/>
  <c r="J31" i="8"/>
  <c r="J8" i="8"/>
  <c r="J12" i="8"/>
  <c r="J16" i="8"/>
  <c r="J20" i="8"/>
  <c r="J24" i="8"/>
  <c r="J28" i="8"/>
  <c r="J32" i="8"/>
  <c r="J13" i="8"/>
  <c r="J17" i="8"/>
  <c r="J21" i="8"/>
  <c r="J25" i="8"/>
  <c r="J2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" i="29" l="1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Q22" i="28" l="1"/>
  <c r="A3" i="28"/>
  <c r="A4" i="28" s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Q4" i="28" l="1"/>
  <c r="Q6" i="28"/>
  <c r="Q2" i="28"/>
  <c r="Q8" i="28"/>
  <c r="Q12" i="28"/>
  <c r="Q13" i="28"/>
  <c r="Q16" i="28"/>
  <c r="Q21" i="28"/>
  <c r="Q9" i="28"/>
  <c r="Q17" i="28"/>
  <c r="L3" i="28"/>
  <c r="G21" i="28"/>
  <c r="G20" i="28"/>
  <c r="Q20" i="28"/>
  <c r="Q3" i="28"/>
  <c r="Q5" i="28"/>
  <c r="Q7" i="28"/>
  <c r="Q11" i="28"/>
  <c r="Q15" i="28"/>
  <c r="G19" i="28"/>
  <c r="Q19" i="28"/>
  <c r="L2" i="28"/>
  <c r="Q10" i="28"/>
  <c r="Q14" i="28"/>
  <c r="Q18" i="28"/>
  <c r="G22" i="28"/>
  <c r="L4" i="28" l="1"/>
  <c r="L5" i="28" l="1"/>
  <c r="L6" i="28" l="1"/>
  <c r="A37" i="9"/>
  <c r="A38" i="9" s="1"/>
  <c r="A39" i="9" s="1"/>
  <c r="A40" i="9" s="1"/>
  <c r="A41" i="9" s="1"/>
  <c r="A42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L7" i="28" l="1"/>
  <c r="L8" i="28" l="1"/>
  <c r="L9" i="28" l="1"/>
  <c r="L10" i="28" l="1"/>
  <c r="L11" i="28" l="1"/>
  <c r="L12" i="28" l="1"/>
  <c r="L13" i="28" l="1"/>
  <c r="L14" i="28" l="1"/>
  <c r="L15" i="28" l="1"/>
  <c r="L16" i="28" l="1"/>
  <c r="L17" i="28" l="1"/>
  <c r="L18" i="28" l="1"/>
  <c r="L19" i="28" l="1"/>
  <c r="X19" i="28" s="1"/>
  <c r="L20" i="28" l="1"/>
  <c r="X20" i="28" s="1"/>
  <c r="L21" i="28" l="1"/>
  <c r="X21" i="28" s="1"/>
  <c r="L22" i="28"/>
  <c r="X22" i="28" s="1"/>
  <c r="D50" i="9" l="1"/>
  <c r="D27" i="32" l="1"/>
  <c r="D9" i="32"/>
  <c r="F10" i="9"/>
  <c r="F15" i="9"/>
  <c r="D14" i="32"/>
  <c r="D6" i="32"/>
  <c r="F7" i="9"/>
  <c r="F14" i="9"/>
  <c r="D13" i="32"/>
  <c r="F20" i="9"/>
  <c r="D19" i="32"/>
  <c r="F25" i="9"/>
  <c r="D24" i="32"/>
  <c r="D5" i="32"/>
  <c r="F6" i="9"/>
  <c r="D10" i="32"/>
  <c r="F11" i="9"/>
  <c r="F18" i="9"/>
  <c r="D17" i="32"/>
  <c r="F22" i="9"/>
  <c r="D21" i="32"/>
  <c r="D23" i="32"/>
  <c r="F24" i="9"/>
  <c r="F12" i="9"/>
  <c r="D11" i="32"/>
  <c r="F17" i="9"/>
  <c r="D16" i="32"/>
  <c r="D18" i="32"/>
  <c r="F19" i="9"/>
  <c r="D7" i="32"/>
  <c r="F8" i="9"/>
  <c r="D25" i="32"/>
  <c r="F26" i="9"/>
  <c r="F21" i="9"/>
  <c r="D20" i="32"/>
  <c r="D12" i="32"/>
  <c r="F13" i="9"/>
  <c r="D8" i="32"/>
  <c r="F9" i="9"/>
  <c r="D4" i="32"/>
  <c r="F5" i="9"/>
  <c r="F23" i="9"/>
  <c r="D22" i="32"/>
  <c r="D15" i="32"/>
  <c r="F16" i="9"/>
  <c r="F27" i="9"/>
  <c r="D26" i="32"/>
  <c r="D3" i="32" l="1"/>
  <c r="D31" i="32" s="1"/>
  <c r="F4" i="9"/>
  <c r="F31" i="9" s="1"/>
  <c r="G27" i="9" l="1"/>
  <c r="Y21" i="28"/>
  <c r="Y20" i="28"/>
  <c r="Y29" i="28" l="1"/>
  <c r="G30" i="9"/>
  <c r="Y28" i="28"/>
  <c r="G29" i="9"/>
  <c r="Y22" i="28"/>
  <c r="G23" i="9"/>
  <c r="G24" i="9"/>
  <c r="Y23" i="28"/>
  <c r="G25" i="9"/>
  <c r="Y24" i="28"/>
  <c r="Y19" i="28"/>
  <c r="G20" i="9"/>
  <c r="G26" i="9"/>
  <c r="Y25" i="28"/>
  <c r="Y27" i="28"/>
  <c r="G28" i="9"/>
  <c r="Y26" i="28"/>
  <c r="G21" i="9"/>
  <c r="G22" i="9"/>
  <c r="I35" i="8" l="1"/>
  <c r="M35" i="8" s="1"/>
  <c r="I21" i="8"/>
  <c r="M21" i="8" s="1"/>
  <c r="I11" i="8"/>
  <c r="M11" i="8" s="1"/>
  <c r="D6" i="9" s="1"/>
  <c r="I32" i="8"/>
  <c r="M32" i="8" s="1"/>
  <c r="G31" i="8"/>
  <c r="H31" i="8"/>
  <c r="L31" i="8" s="1"/>
  <c r="P31" i="8" s="1"/>
  <c r="G9" i="8"/>
  <c r="H9" i="8"/>
  <c r="L9" i="8" s="1"/>
  <c r="C4" i="9" s="1"/>
  <c r="G14" i="8"/>
  <c r="H14" i="8" s="1"/>
  <c r="L14" i="8" s="1"/>
  <c r="C9" i="9" s="1"/>
  <c r="G23" i="8"/>
  <c r="H23" i="8" s="1"/>
  <c r="L23" i="8" s="1"/>
  <c r="P23" i="8" s="1"/>
  <c r="I28" i="8"/>
  <c r="M28" i="8" s="1"/>
  <c r="I14" i="8"/>
  <c r="M14" i="8"/>
  <c r="D9" i="9" s="1"/>
  <c r="I9" i="8"/>
  <c r="M9" i="8" s="1"/>
  <c r="D4" i="9" s="1"/>
  <c r="I12" i="8"/>
  <c r="M12" i="8" s="1"/>
  <c r="D7" i="9" s="1"/>
  <c r="I26" i="8"/>
  <c r="M26" i="8"/>
  <c r="I25" i="8"/>
  <c r="M25" i="8"/>
  <c r="Q25" i="8" s="1"/>
  <c r="D20" i="9"/>
  <c r="G33" i="8"/>
  <c r="H33" i="8" s="1"/>
  <c r="L33" i="8" s="1"/>
  <c r="I17" i="8"/>
  <c r="M17" i="8"/>
  <c r="I27" i="8"/>
  <c r="M27" i="8" s="1"/>
  <c r="I20" i="8"/>
  <c r="M20" i="8" s="1"/>
  <c r="I10" i="8"/>
  <c r="M10" i="8" s="1"/>
  <c r="D5" i="9" s="1"/>
  <c r="G35" i="8"/>
  <c r="H35" i="8"/>
  <c r="L35" i="8" s="1"/>
  <c r="P35" i="8" s="1"/>
  <c r="G16" i="8"/>
  <c r="H16" i="8" s="1"/>
  <c r="L16" i="8" s="1"/>
  <c r="P16" i="8" s="1"/>
  <c r="I8" i="8"/>
  <c r="M8" i="8" s="1"/>
  <c r="D3" i="9" s="1"/>
  <c r="G25" i="8"/>
  <c r="H25" i="8" s="1"/>
  <c r="L25" i="8" s="1"/>
  <c r="P25" i="8" s="1"/>
  <c r="I29" i="8"/>
  <c r="M29" i="8"/>
  <c r="I22" i="8"/>
  <c r="M22" i="8"/>
  <c r="Q22" i="8" s="1"/>
  <c r="D17" i="9"/>
  <c r="I34" i="8"/>
  <c r="M34" i="8" s="1"/>
  <c r="I24" i="8"/>
  <c r="M24" i="8" s="1"/>
  <c r="G34" i="8"/>
  <c r="H34" i="8" s="1"/>
  <c r="L34" i="8" s="1"/>
  <c r="P34" i="8" s="1"/>
  <c r="G18" i="8"/>
  <c r="H18" i="8" s="1"/>
  <c r="L18" i="8" s="1"/>
  <c r="P18" i="8" s="1"/>
  <c r="G26" i="8"/>
  <c r="H26" i="8" s="1"/>
  <c r="L26" i="8" s="1"/>
  <c r="P26" i="8" s="1"/>
  <c r="G13" i="8"/>
  <c r="H13" i="8" s="1"/>
  <c r="L13" i="8" s="1"/>
  <c r="G21" i="8"/>
  <c r="H21" i="8" s="1"/>
  <c r="L21" i="8" s="1"/>
  <c r="P21" i="8" s="1"/>
  <c r="I18" i="8"/>
  <c r="M18" i="8" s="1"/>
  <c r="I33" i="8"/>
  <c r="M33" i="8" s="1"/>
  <c r="I16" i="8"/>
  <c r="M16" i="8"/>
  <c r="I30" i="8"/>
  <c r="M30" i="8"/>
  <c r="I15" i="8"/>
  <c r="M15" i="8" s="1"/>
  <c r="I31" i="8"/>
  <c r="M31" i="8" s="1"/>
  <c r="G30" i="8"/>
  <c r="H30" i="8" s="1"/>
  <c r="L30" i="8" s="1"/>
  <c r="P30" i="8" s="1"/>
  <c r="G11" i="8"/>
  <c r="H11" i="8"/>
  <c r="L11" i="8" s="1"/>
  <c r="G17" i="8"/>
  <c r="H17" i="8" s="1"/>
  <c r="L17" i="8" s="1"/>
  <c r="P17" i="8" s="1"/>
  <c r="G19" i="8"/>
  <c r="H19" i="8" s="1"/>
  <c r="L19" i="8" s="1"/>
  <c r="P19" i="8" s="1"/>
  <c r="G24" i="8"/>
  <c r="H24" i="8"/>
  <c r="L24" i="8" s="1"/>
  <c r="P24" i="8" s="1"/>
  <c r="I23" i="8"/>
  <c r="M23" i="8" s="1"/>
  <c r="I13" i="8"/>
  <c r="M13" i="8" s="1"/>
  <c r="D8" i="9" s="1"/>
  <c r="I19" i="8"/>
  <c r="M19" i="8"/>
  <c r="G32" i="8"/>
  <c r="H32" i="8" s="1"/>
  <c r="L32" i="8" s="1"/>
  <c r="P32" i="8" s="1"/>
  <c r="G15" i="8"/>
  <c r="H15" i="8" s="1"/>
  <c r="L15" i="8" s="1"/>
  <c r="P15" i="8" s="1"/>
  <c r="G29" i="8"/>
  <c r="H29" i="8" s="1"/>
  <c r="L29" i="8" s="1"/>
  <c r="P29" i="8" s="1"/>
  <c r="G10" i="8"/>
  <c r="H10" i="8" s="1"/>
  <c r="L10" i="8" s="1"/>
  <c r="G12" i="8"/>
  <c r="H12" i="8" s="1"/>
  <c r="L12" i="8" s="1"/>
  <c r="G27" i="8"/>
  <c r="H27" i="8"/>
  <c r="L27" i="8" s="1"/>
  <c r="P27" i="8" s="1"/>
  <c r="G22" i="8"/>
  <c r="H22" i="8" s="1"/>
  <c r="L22" i="8" s="1"/>
  <c r="P22" i="8" s="1"/>
  <c r="G28" i="8"/>
  <c r="H28" i="8" s="1"/>
  <c r="L28" i="8" s="1"/>
  <c r="P28" i="8" s="1"/>
  <c r="G20" i="8"/>
  <c r="H20" i="8"/>
  <c r="L20" i="8"/>
  <c r="G8" i="8"/>
  <c r="H8" i="8"/>
  <c r="L8" i="8" s="1"/>
  <c r="D13" i="9" l="1"/>
  <c r="Q18" i="8"/>
  <c r="D22" i="9"/>
  <c r="Q27" i="8"/>
  <c r="D27" i="9"/>
  <c r="Q32" i="8"/>
  <c r="D18" i="9"/>
  <c r="Q23" i="8"/>
  <c r="D26" i="9"/>
  <c r="Q31" i="8"/>
  <c r="D11" i="9"/>
  <c r="Q16" i="8"/>
  <c r="D12" i="9"/>
  <c r="Q17" i="8"/>
  <c r="D23" i="9"/>
  <c r="Q28" i="8"/>
  <c r="D14" i="9"/>
  <c r="Q19" i="8"/>
  <c r="D10" i="9"/>
  <c r="D31" i="9" s="1"/>
  <c r="Q15" i="8"/>
  <c r="D19" i="9"/>
  <c r="Q24" i="8"/>
  <c r="D16" i="9"/>
  <c r="Q21" i="8"/>
  <c r="N20" i="8"/>
  <c r="O20" i="8" s="1"/>
  <c r="P20" i="8"/>
  <c r="D25" i="9"/>
  <c r="Q30" i="8"/>
  <c r="D28" i="9"/>
  <c r="Q33" i="8"/>
  <c r="D29" i="9"/>
  <c r="Q34" i="8"/>
  <c r="D24" i="9"/>
  <c r="Q29" i="8"/>
  <c r="D15" i="9"/>
  <c r="Q20" i="8"/>
  <c r="N33" i="8"/>
  <c r="O33" i="8" s="1"/>
  <c r="P33" i="8"/>
  <c r="D21" i="9"/>
  <c r="Q26" i="8"/>
  <c r="D30" i="9"/>
  <c r="Q35" i="8"/>
  <c r="N11" i="8"/>
  <c r="O11" i="8" s="1"/>
  <c r="C17" i="9"/>
  <c r="N22" i="8"/>
  <c r="O22" i="8" s="1"/>
  <c r="C5" i="9"/>
  <c r="N10" i="8"/>
  <c r="O10" i="8" s="1"/>
  <c r="N24" i="8"/>
  <c r="O24" i="8" s="1"/>
  <c r="C19" i="9"/>
  <c r="C21" i="9"/>
  <c r="N26" i="8"/>
  <c r="O26" i="8" s="1"/>
  <c r="N16" i="8"/>
  <c r="O16" i="8" s="1"/>
  <c r="C11" i="9"/>
  <c r="C26" i="9"/>
  <c r="N31" i="8"/>
  <c r="O31" i="8" s="1"/>
  <c r="N29" i="8"/>
  <c r="O29" i="8" s="1"/>
  <c r="C24" i="9"/>
  <c r="C13" i="9"/>
  <c r="N18" i="8"/>
  <c r="O18" i="8" s="1"/>
  <c r="N35" i="8"/>
  <c r="O35" i="8" s="1"/>
  <c r="C30" i="9"/>
  <c r="N23" i="8"/>
  <c r="O23" i="8" s="1"/>
  <c r="C18" i="9"/>
  <c r="N8" i="8"/>
  <c r="O8" i="8" s="1"/>
  <c r="C3" i="9"/>
  <c r="C10" i="9"/>
  <c r="N15" i="8"/>
  <c r="O15" i="8" s="1"/>
  <c r="C14" i="9"/>
  <c r="N19" i="8"/>
  <c r="O19" i="8" s="1"/>
  <c r="C16" i="9"/>
  <c r="N21" i="8"/>
  <c r="O21" i="8" s="1"/>
  <c r="N27" i="8"/>
  <c r="O27" i="8" s="1"/>
  <c r="C22" i="9"/>
  <c r="N34" i="8"/>
  <c r="O34" i="8" s="1"/>
  <c r="C29" i="9"/>
  <c r="C20" i="9"/>
  <c r="N25" i="8"/>
  <c r="O25" i="8" s="1"/>
  <c r="C23" i="9"/>
  <c r="N28" i="8"/>
  <c r="O28" i="8" s="1"/>
  <c r="N12" i="8"/>
  <c r="O12" i="8" s="1"/>
  <c r="C7" i="9"/>
  <c r="C27" i="9"/>
  <c r="N32" i="8"/>
  <c r="O32" i="8" s="1"/>
  <c r="C12" i="9"/>
  <c r="N17" i="8"/>
  <c r="O17" i="8" s="1"/>
  <c r="C25" i="9"/>
  <c r="N30" i="8"/>
  <c r="O30" i="8" s="1"/>
  <c r="C8" i="9"/>
  <c r="N13" i="8"/>
  <c r="O13" i="8" s="1"/>
  <c r="C6" i="9"/>
  <c r="C28" i="9"/>
  <c r="N14" i="8"/>
  <c r="O14" i="8" s="1"/>
  <c r="C15" i="9"/>
  <c r="N9" i="8"/>
  <c r="O9" i="8" s="1"/>
  <c r="P36" i="8" l="1"/>
  <c r="Q36" i="8"/>
  <c r="C31" i="9"/>
  <c r="O36" i="8"/>
  <c r="G8" i="28"/>
  <c r="X8" i="28" s="1"/>
  <c r="G9" i="9" s="1"/>
  <c r="G5" i="28"/>
  <c r="X5" i="28" s="1"/>
  <c r="G12" i="28"/>
  <c r="X12" i="28" s="1"/>
  <c r="G16" i="28"/>
  <c r="X16" i="28" s="1"/>
  <c r="G3" i="28"/>
  <c r="X3" i="28" s="1"/>
  <c r="G7" i="28"/>
  <c r="X7" i="28" s="1"/>
  <c r="G9" i="28"/>
  <c r="X9" i="28" s="1"/>
  <c r="G10" i="28"/>
  <c r="X10" i="28" s="1"/>
  <c r="G11" i="28"/>
  <c r="X11" i="28" s="1"/>
  <c r="G17" i="28"/>
  <c r="X17" i="28" s="1"/>
  <c r="G18" i="28"/>
  <c r="X18" i="28" s="1"/>
  <c r="G13" i="28"/>
  <c r="X13" i="28" s="1"/>
  <c r="G14" i="28"/>
  <c r="X14" i="28" s="1"/>
  <c r="G15" i="28"/>
  <c r="X15" i="28" s="1"/>
  <c r="G4" i="28"/>
  <c r="X4" i="28" s="1"/>
  <c r="G6" i="28"/>
  <c r="X6" i="28" s="1"/>
  <c r="G2" i="28"/>
  <c r="X2" i="28" s="1"/>
  <c r="G3" i="9" s="1"/>
  <c r="G4" i="9" l="1"/>
  <c r="Y3" i="28"/>
  <c r="G7" i="9"/>
  <c r="Y6" i="28"/>
  <c r="Y10" i="28"/>
  <c r="G11" i="9"/>
  <c r="Y4" i="28"/>
  <c r="G5" i="9"/>
  <c r="G6" i="9"/>
  <c r="Y5" i="28"/>
  <c r="Y14" i="28"/>
  <c r="G15" i="9"/>
  <c r="Y17" i="28"/>
  <c r="G18" i="9"/>
  <c r="G10" i="9"/>
  <c r="Y9" i="28"/>
  <c r="G14" i="9"/>
  <c r="Y13" i="28"/>
  <c r="G12" i="9"/>
  <c r="Y11" i="28"/>
  <c r="Y16" i="28"/>
  <c r="G17" i="9"/>
  <c r="Y15" i="28"/>
  <c r="G16" i="9"/>
  <c r="Y18" i="28"/>
  <c r="G19" i="9"/>
  <c r="Y7" i="28"/>
  <c r="G8" i="9"/>
  <c r="Y12" i="28"/>
  <c r="G13" i="9"/>
  <c r="Y2" i="28"/>
  <c r="Y8" i="28"/>
  <c r="J7" i="9" l="1"/>
  <c r="Y32" i="28"/>
  <c r="G31" i="9"/>
  <c r="E20" i="29"/>
  <c r="I20" i="29" s="1"/>
  <c r="E26" i="29"/>
  <c r="I26" i="29" s="1"/>
  <c r="E21" i="29"/>
  <c r="I21" i="29" s="1"/>
  <c r="E29" i="29"/>
  <c r="I29" i="29"/>
  <c r="E30" i="9" s="1"/>
  <c r="E23" i="29"/>
  <c r="I23" i="29" s="1"/>
  <c r="E8" i="29"/>
  <c r="I8" i="29" s="1"/>
  <c r="E17" i="29"/>
  <c r="I17" i="29" s="1"/>
  <c r="E24" i="29"/>
  <c r="I24" i="29" s="1"/>
  <c r="E25" i="9" s="1"/>
  <c r="E27" i="29"/>
  <c r="I27" i="29" s="1"/>
  <c r="E19" i="29"/>
  <c r="I19" i="29"/>
  <c r="J19" i="29" s="1"/>
  <c r="E22" i="29"/>
  <c r="I22" i="29" s="1"/>
  <c r="E28" i="29"/>
  <c r="I28" i="29" s="1"/>
  <c r="E25" i="29"/>
  <c r="I25" i="29" s="1"/>
  <c r="E26" i="9" s="1"/>
  <c r="E12" i="29"/>
  <c r="I12" i="29"/>
  <c r="J12" i="29" s="1"/>
  <c r="E7" i="29"/>
  <c r="I7" i="29" s="1"/>
  <c r="J7" i="29" s="1"/>
  <c r="E13" i="29"/>
  <c r="I13" i="29" s="1"/>
  <c r="E4" i="29"/>
  <c r="I4" i="29"/>
  <c r="J4" i="29" s="1"/>
  <c r="E3" i="29"/>
  <c r="I3" i="29" s="1"/>
  <c r="E4" i="9" s="1"/>
  <c r="E9" i="29"/>
  <c r="I9" i="29"/>
  <c r="E10" i="9" s="1"/>
  <c r="J10" i="9" s="1"/>
  <c r="E6" i="29"/>
  <c r="I6" i="29" s="1"/>
  <c r="E7" i="9" s="1"/>
  <c r="E5" i="29"/>
  <c r="I5" i="29" s="1"/>
  <c r="E10" i="29"/>
  <c r="I10" i="29" s="1"/>
  <c r="E2" i="29"/>
  <c r="I2" i="29" s="1"/>
  <c r="J2" i="29" s="1"/>
  <c r="E11" i="29"/>
  <c r="I11" i="29" s="1"/>
  <c r="E15" i="29"/>
  <c r="I15" i="29" s="1"/>
  <c r="E16" i="9" s="1"/>
  <c r="E18" i="29"/>
  <c r="I18" i="29" s="1"/>
  <c r="E16" i="29"/>
  <c r="I16" i="29" s="1"/>
  <c r="E14" i="29"/>
  <c r="I14" i="29" s="1"/>
  <c r="J4" i="9" l="1"/>
  <c r="K4" i="9" s="1"/>
  <c r="K7" i="9"/>
  <c r="K25" i="9"/>
  <c r="J25" i="9"/>
  <c r="J30" i="9"/>
  <c r="K30" i="9" s="1"/>
  <c r="K26" i="9"/>
  <c r="J26" i="9"/>
  <c r="K10" i="9"/>
  <c r="J16" i="9"/>
  <c r="K16" i="9" s="1"/>
  <c r="I38" i="28"/>
  <c r="Z32" i="28"/>
  <c r="J8" i="29"/>
  <c r="E9" i="9"/>
  <c r="J14" i="29"/>
  <c r="E15" i="9"/>
  <c r="J28" i="29"/>
  <c r="E29" i="9"/>
  <c r="E27" i="9"/>
  <c r="J26" i="29"/>
  <c r="J11" i="29"/>
  <c r="E12" i="9"/>
  <c r="J20" i="29"/>
  <c r="E21" i="9"/>
  <c r="J10" i="29"/>
  <c r="E11" i="9"/>
  <c r="E5" i="9"/>
  <c r="E20" i="9"/>
  <c r="E8" i="9"/>
  <c r="E13" i="9"/>
  <c r="J27" i="29"/>
  <c r="E28" i="9"/>
  <c r="J22" i="29"/>
  <c r="E23" i="9"/>
  <c r="J17" i="29"/>
  <c r="E18" i="9"/>
  <c r="E24" i="9"/>
  <c r="J23" i="29"/>
  <c r="J21" i="29"/>
  <c r="E22" i="9"/>
  <c r="E17" i="9"/>
  <c r="J16" i="29"/>
  <c r="E14" i="9"/>
  <c r="J13" i="29"/>
  <c r="E19" i="9"/>
  <c r="J18" i="29"/>
  <c r="E6" i="9"/>
  <c r="J5" i="29"/>
  <c r="J24" i="29"/>
  <c r="J29" i="29"/>
  <c r="J3" i="29"/>
  <c r="E3" i="9"/>
  <c r="J3" i="9" s="1"/>
  <c r="J15" i="29"/>
  <c r="J25" i="29"/>
  <c r="J6" i="29"/>
  <c r="J9" i="29"/>
  <c r="J13" i="9" l="1"/>
  <c r="K13" i="9" s="1"/>
  <c r="J12" i="9"/>
  <c r="K12" i="9" s="1"/>
  <c r="J17" i="9"/>
  <c r="K17" i="9" s="1"/>
  <c r="J8" i="9"/>
  <c r="K8" i="9" s="1"/>
  <c r="J23" i="9"/>
  <c r="K23" i="9" s="1"/>
  <c r="J11" i="9"/>
  <c r="K11" i="9" s="1"/>
  <c r="J29" i="9"/>
  <c r="K29" i="9" s="1"/>
  <c r="J18" i="9"/>
  <c r="K18" i="9" s="1"/>
  <c r="J20" i="9"/>
  <c r="K20" i="9" s="1"/>
  <c r="J21" i="9"/>
  <c r="K21" i="9" s="1"/>
  <c r="J15" i="9"/>
  <c r="K15" i="9" s="1"/>
  <c r="J19" i="9"/>
  <c r="K19" i="9" s="1"/>
  <c r="J24" i="9"/>
  <c r="K24" i="9" s="1"/>
  <c r="J22" i="9"/>
  <c r="K22" i="9" s="1"/>
  <c r="J28" i="9"/>
  <c r="K28" i="9" s="1"/>
  <c r="J6" i="9"/>
  <c r="K6" i="9" s="1"/>
  <c r="J14" i="9"/>
  <c r="K14" i="9" s="1"/>
  <c r="J5" i="9"/>
  <c r="K5" i="9" s="1"/>
  <c r="J27" i="9"/>
  <c r="K27" i="9" s="1"/>
  <c r="J9" i="9"/>
  <c r="K9" i="9" s="1"/>
  <c r="E31" i="9"/>
  <c r="K3" i="9" l="1"/>
  <c r="P3" i="9" s="1"/>
  <c r="J31" i="9"/>
  <c r="K31" i="9" l="1"/>
  <c r="D49" i="9"/>
  <c r="D52" i="9" l="1"/>
  <c r="D51" i="9"/>
</calcChain>
</file>

<file path=xl/sharedStrings.xml><?xml version="1.0" encoding="utf-8"?>
<sst xmlns="http://schemas.openxmlformats.org/spreadsheetml/2006/main" count="361" uniqueCount="266">
  <si>
    <t>Year</t>
  </si>
  <si>
    <t>FY</t>
  </si>
  <si>
    <t>Years</t>
  </si>
  <si>
    <t>Costs</t>
  </si>
  <si>
    <t>Period</t>
  </si>
  <si>
    <t>Term</t>
  </si>
  <si>
    <t>Truck Delay 
Reduction ($)</t>
  </si>
  <si>
    <t>Total Delay
 Reduction ($)</t>
  </si>
  <si>
    <t>COST BENEFIT ANALYSIS SUMMARY</t>
  </si>
  <si>
    <t>Car Delay Reduction 
(Veh-Hr)</t>
  </si>
  <si>
    <t>Truck Delay Reduction
 (Veh-Hr)</t>
  </si>
  <si>
    <t>Value of Time</t>
  </si>
  <si>
    <t>Local All Purpose Travel</t>
  </si>
  <si>
    <t>Truck Drivers</t>
  </si>
  <si>
    <t>7% Discount</t>
  </si>
  <si>
    <t>NPV Total</t>
  </si>
  <si>
    <t>Car Delay Reduction Value (FV)</t>
  </si>
  <si>
    <t>Safety Benefit (FV)</t>
  </si>
  <si>
    <t>Construction Costs</t>
  </si>
  <si>
    <t>Delay Reduction Analyses</t>
  </si>
  <si>
    <t>VOT Truck***</t>
  </si>
  <si>
    <t>VOT Car***</t>
  </si>
  <si>
    <t>Vehicle Operating Cost Reduction Benefits (FV)</t>
  </si>
  <si>
    <t>Vehicle Operating Cost Reduction (PV) (7%)</t>
  </si>
  <si>
    <t>Benefits</t>
  </si>
  <si>
    <t>Safety Benefit Combined (FVt)</t>
  </si>
  <si>
    <t>Safety Benefit Combined (PVt) (7%)</t>
  </si>
  <si>
    <t>NOx Reduction Valuation (FV)</t>
  </si>
  <si>
    <t>PM Reduction Valuation (FV)</t>
  </si>
  <si>
    <t>SOx Reduction Valuation (FV)</t>
  </si>
  <si>
    <t>Project Benefits</t>
  </si>
  <si>
    <t>Project Cost</t>
  </si>
  <si>
    <t>"No Build" Car
VHT****</t>
  </si>
  <si>
    <t>"No Build" Truck
VHT****</t>
  </si>
  <si>
    <t>"Build"Car VHT ****</t>
  </si>
  <si>
    <t>"Build" Truck VHT ****</t>
  </si>
  <si>
    <t>**** Values from Ohio Statewide Travel Demand Model</t>
  </si>
  <si>
    <t>Vehicle Type</t>
  </si>
  <si>
    <t>Truck</t>
  </si>
  <si>
    <t>Passenger</t>
  </si>
  <si>
    <t>Occupancy*</t>
  </si>
  <si>
    <t>Passenger Delay 
Reduction ($)</t>
  </si>
  <si>
    <t>Passenger Delay Reduction**</t>
  </si>
  <si>
    <t>** Passenger Delay Reduction is Car Delay reduction adjusted for vehicle occupancy (Car Delay * Occupancy)</t>
  </si>
  <si>
    <t>Base Year of Nominal Dollar</t>
  </si>
  <si>
    <t>FV Total Benefits</t>
  </si>
  <si>
    <t>Public Expenditures</t>
  </si>
  <si>
    <t>Private Expenditures</t>
  </si>
  <si>
    <t>Total</t>
  </si>
  <si>
    <t>* Per the Benefit-Cost Analysis Guidance for BUILD and INFRA Applications</t>
  </si>
  <si>
    <t xml:space="preserve">Trucks Delay Reduction Value (FV) </t>
  </si>
  <si>
    <t>Operations and Maintenance</t>
  </si>
  <si>
    <t xml:space="preserve">Notes: </t>
  </si>
  <si>
    <t>Cell colors correspond to the below tabs.</t>
  </si>
  <si>
    <t>Net Present Value</t>
  </si>
  <si>
    <t>Benefit-Cost Ratio</t>
  </si>
  <si>
    <t>PV Benefit (7%)</t>
  </si>
  <si>
    <t>PV Cost (7%)</t>
  </si>
  <si>
    <t>From the Benefit-Cost Analysis Guidance for BUILD and INFRA Applications</t>
  </si>
  <si>
    <t>CO2 Reduction Valuation (FV)</t>
  </si>
  <si>
    <t xml:space="preserve">Operating Cost Reduction** </t>
  </si>
  <si>
    <t>"No Build" Fuel Cost**</t>
  </si>
  <si>
    <t>"Build" Vehicle Fuel Cost**</t>
  </si>
  <si>
    <t>Fuel Cost Reduction**</t>
  </si>
  <si>
    <t>Non-Fuel Cost Reduction**</t>
  </si>
  <si>
    <t>"Build" Non-Fuel Operating Cost**</t>
  </si>
  <si>
    <t>"No Build" Non-Fuel Operating Cost**</t>
  </si>
  <si>
    <t>2019*</t>
  </si>
  <si>
    <t>** Values in 2019 dollars, from Ohio Statewide Travel Demand Model</t>
  </si>
  <si>
    <t>SO2</t>
  </si>
  <si>
    <t>PM2.5</t>
  </si>
  <si>
    <t>CO2</t>
  </si>
  <si>
    <t>NOx</t>
  </si>
  <si>
    <t>Multiplier to Adjust to Real $2019</t>
  </si>
  <si>
    <t>Total Non-CO2 Reduction Valuation (FV)</t>
  </si>
  <si>
    <t>Total Non-CO2 Reduction Valuation (PV) (7%)</t>
  </si>
  <si>
    <t>CO2 Reduction Valuation (PV) (3%)</t>
  </si>
  <si>
    <t>Non-CO2 Emissions Reduction Benefits (FV)</t>
  </si>
  <si>
    <t>CO2 Emissions Reduction Benefits (FV)</t>
  </si>
  <si>
    <t>CO2 PV Benefit (3%)</t>
  </si>
  <si>
    <t>Total PV Benefit</t>
  </si>
  <si>
    <t>Operations and Maintenance cost is shown in the benefits to calculate benefit-cost ratio</t>
  </si>
  <si>
    <t>** "No Build" and "Build" emissions from Ohio Statewide Travel Demand Model in short tons, coverted to metric tons by multiplying by 1.1015</t>
  </si>
  <si>
    <t xml:space="preserve">"No Build"
NOx  </t>
  </si>
  <si>
    <t xml:space="preserve">"Build" 
NOx  </t>
  </si>
  <si>
    <t>NOx Reduction **</t>
  </si>
  <si>
    <t>NOx Value</t>
  </si>
  <si>
    <t xml:space="preserve">"No Build" PM  </t>
  </si>
  <si>
    <t xml:space="preserve">"Build" PM </t>
  </si>
  <si>
    <t>PM Reduction**</t>
  </si>
  <si>
    <t>PM Value</t>
  </si>
  <si>
    <t xml:space="preserve">"No Build"
SOx </t>
  </si>
  <si>
    <t xml:space="preserve">"Build" 
SOx  </t>
  </si>
  <si>
    <t>SOx Reduction **</t>
  </si>
  <si>
    <t>SOx Value</t>
  </si>
  <si>
    <t xml:space="preserve">"No Build"
CO2 </t>
  </si>
  <si>
    <t xml:space="preserve">"Build" 
CO2  </t>
  </si>
  <si>
    <t>CO2 Reduction **</t>
  </si>
  <si>
    <t>CO2 Value</t>
  </si>
  <si>
    <t>Annual Maintenance Savings</t>
  </si>
  <si>
    <t>(No-Build condition maintenance - Build condition maintenance)</t>
  </si>
  <si>
    <t>Maintenance Benefits</t>
  </si>
  <si>
    <t>Annual</t>
  </si>
  <si>
    <t>Redecking</t>
  </si>
  <si>
    <t>Total Maintenance Benefit</t>
  </si>
  <si>
    <t>Annual Pavement Maintenance</t>
  </si>
  <si>
    <t>annual maintenace per lane mile</t>
  </si>
  <si>
    <t>Lane-Feet</t>
  </si>
  <si>
    <t>Length</t>
  </si>
  <si>
    <t>Lanes</t>
  </si>
  <si>
    <t xml:space="preserve">Length </t>
  </si>
  <si>
    <t>I-70 EB</t>
  </si>
  <si>
    <t>Third Ramp</t>
  </si>
  <si>
    <t>Fourth Ramp</t>
  </si>
  <si>
    <t>Annual Bridge Inspection</t>
  </si>
  <si>
    <t>High</t>
  </si>
  <si>
    <t>Third</t>
  </si>
  <si>
    <t>sf          *</t>
  </si>
  <si>
    <t>/sf</t>
  </si>
  <si>
    <t>with Design/CE/Contingency</t>
  </si>
  <si>
    <t>Bridge Redecking</t>
  </si>
  <si>
    <t>$/sf</t>
  </si>
  <si>
    <t>Width</t>
  </si>
  <si>
    <t>Area</t>
  </si>
  <si>
    <t>Redeck Year</t>
  </si>
  <si>
    <t>Souder</t>
  </si>
  <si>
    <t>High (Ex.)</t>
  </si>
  <si>
    <t>Third (Ex.)</t>
  </si>
  <si>
    <t>Fourth (Ex.)</t>
  </si>
  <si>
    <t>Over Scioto River</t>
  </si>
  <si>
    <t>Over Rail Road</t>
  </si>
  <si>
    <t>2020 Redeckings</t>
  </si>
  <si>
    <t>2033 Redeckings</t>
  </si>
  <si>
    <t>Amount</t>
  </si>
  <si>
    <t>Type</t>
  </si>
  <si>
    <t>Caliper</t>
  </si>
  <si>
    <t>Lacebark Elm</t>
  </si>
  <si>
    <t>Ginko Biloba</t>
  </si>
  <si>
    <t>Exclamation London Plane Tree</t>
  </si>
  <si>
    <t>Maacknificent Maackia</t>
  </si>
  <si>
    <t>Pacific Sunset Maple</t>
  </si>
  <si>
    <t>Swamp White Oak</t>
  </si>
  <si>
    <t>CO2 Pounds Reduced</t>
  </si>
  <si>
    <t>Stormwater Runoff Benefit</t>
  </si>
  <si>
    <t>Pound</t>
  </si>
  <si>
    <t>Metric Ton</t>
  </si>
  <si>
    <t>CO2 Reduction Metric Tons</t>
  </si>
  <si>
    <t>CO2 Reduction (Metric Ton)</t>
  </si>
  <si>
    <t>Stormwater Runoff Reduction Benefit</t>
  </si>
  <si>
    <t>Stormwater Runoff Reduction Valuation (PV) (7%)</t>
  </si>
  <si>
    <t>Total Street Tree Benefit (PV)</t>
  </si>
  <si>
    <t>Street Tree Benefit Total (3% CO2 and 7% Stormwater Reduction)</t>
  </si>
  <si>
    <t>Columbus Crossroad Phase 4 Street Trees</t>
  </si>
  <si>
    <t>Per Tree Benefit</t>
  </si>
  <si>
    <t>Total Tree Type Benefit</t>
  </si>
  <si>
    <t>Pounds to Metric Ton Conversion</t>
  </si>
  <si>
    <t>Multiplier to Adjust to $2019</t>
  </si>
  <si>
    <t>Cost in $2019</t>
  </si>
  <si>
    <t>Property Value Increase*</t>
  </si>
  <si>
    <t>* Values from National Tree Benefit Calculator (http://www.treebenefits.com/calculator/index.cfma)</t>
  </si>
  <si>
    <t>CO2 Pounds Reduced*</t>
  </si>
  <si>
    <t>Stormwater Runoff Gallons*</t>
  </si>
  <si>
    <t>Stormwater Runoff Benefit*</t>
  </si>
  <si>
    <t xml:space="preserve">*Property Value Increase is detailed in the BCA Methodology Memo. </t>
  </si>
  <si>
    <t xml:space="preserve">FRA-70-1301L – WB </t>
  </si>
  <si>
    <t xml:space="preserve">FRA-70-1301R – EB </t>
  </si>
  <si>
    <t>Maintenance Benefit (7%)</t>
  </si>
  <si>
    <t>Passenger Delay 
Reduction (7%)</t>
  </si>
  <si>
    <t>Truck Delay 
Reduction (7%)</t>
  </si>
  <si>
    <t>NOx Reduction (Metric Tons)</t>
  </si>
  <si>
    <t>PM Reduction (Metric Tons)</t>
  </si>
  <si>
    <t>SOx Reduction (Metric Tons)</t>
  </si>
  <si>
    <t>CO2 Reduction (Metric Tons)</t>
  </si>
  <si>
    <t>Non-CO2 Emissions Reduction Value (7%)</t>
  </si>
  <si>
    <t>CO2 Emissions Reduction Value (3%)</t>
  </si>
  <si>
    <t>Stormwater Runoff Reduced</t>
  </si>
  <si>
    <t>Unit: 'Metric Ton'</t>
  </si>
  <si>
    <t>Repave</t>
  </si>
  <si>
    <t>Square feet - No-Build minus Build - for intermediate year (2033 and 2043 repave)</t>
  </si>
  <si>
    <t>Section</t>
  </si>
  <si>
    <t>Lane Width</t>
  </si>
  <si>
    <t>Shoulders</t>
  </si>
  <si>
    <t>Shoulder Width</t>
  </si>
  <si>
    <t>SR315 to Scioto R</t>
  </si>
  <si>
    <t>Scioto R to RR</t>
  </si>
  <si>
    <t>RR to Short</t>
  </si>
  <si>
    <t>Short to End Proj</t>
  </si>
  <si>
    <t>2023 Repavement</t>
  </si>
  <si>
    <t>Cost</t>
  </si>
  <si>
    <t>Household Transportation Cost Savings</t>
  </si>
  <si>
    <t>Traffic Congestion Cost Savings</t>
  </si>
  <si>
    <t>Roadway Maintenance Cost Savings</t>
  </si>
  <si>
    <t>Collision Cost Savings</t>
  </si>
  <si>
    <t>Total Transportation Cost Savings</t>
  </si>
  <si>
    <t>Transportation Benefit Multiplier*</t>
  </si>
  <si>
    <t>*Values from ODOT's Walk.Bike.Ohio Economic Impact Analysis: https://www.transportation.ohio.gov/wps/portal/gov/odot/programs/walkbikeohio/benefits-walking-biking/wbo-economic-impact</t>
  </si>
  <si>
    <t>Total Without Collision Cost</t>
  </si>
  <si>
    <t>Value Per VMT Reduced*</t>
  </si>
  <si>
    <t>Emissions*</t>
  </si>
  <si>
    <t>Metric Ton Reduced Per VMT*</t>
  </si>
  <si>
    <t>Nox Reduced</t>
  </si>
  <si>
    <t>CO2 Reduced</t>
  </si>
  <si>
    <t>Non-Emissions Benefit</t>
  </si>
  <si>
    <t>Non CO2 Benefit Total</t>
  </si>
  <si>
    <t>Non CO2 Benefit PV (7%)</t>
  </si>
  <si>
    <t>CO2 Benefit PV (3%)</t>
  </si>
  <si>
    <t>Combined Benefit PV</t>
  </si>
  <si>
    <t>Mode Shift Benefit (3% CO2 and 7% All Other Benefits)</t>
  </si>
  <si>
    <t>NHTS 2009</t>
  </si>
  <si>
    <t>Portion of Trips*</t>
  </si>
  <si>
    <t>Modes</t>
  </si>
  <si>
    <t>Trip distance in miles</t>
  </si>
  <si>
    <t>Portion of total</t>
  </si>
  <si>
    <t>Walk</t>
  </si>
  <si>
    <t>Bike</t>
  </si>
  <si>
    <t>Transit</t>
  </si>
  <si>
    <t>POV</t>
  </si>
  <si>
    <t>Totals</t>
  </si>
  <si>
    <t>0-0.5</t>
  </si>
  <si>
    <t>0.6-1.0</t>
  </si>
  <si>
    <t>1.1 to 2.0</t>
  </si>
  <si>
    <t>2.1 to 3.0</t>
  </si>
  <si>
    <t>3.1 to 5.0</t>
  </si>
  <si>
    <t>5.1 to 10.0</t>
  </si>
  <si>
    <t>10.1 or More</t>
  </si>
  <si>
    <t>All</t>
  </si>
  <si>
    <t>*https://www.vtpi.org/short_sweet.pdf</t>
  </si>
  <si>
    <t>Distance Range</t>
  </si>
  <si>
    <t>Walk/Bike</t>
  </si>
  <si>
    <t>Vehicles</t>
  </si>
  <si>
    <t>Walk/Bike%</t>
  </si>
  <si>
    <t>Vehicles %</t>
  </si>
  <si>
    <t xml:space="preserve"> 0-1 mi</t>
  </si>
  <si>
    <t xml:space="preserve"> 1-2 mi</t>
  </si>
  <si>
    <t xml:space="preserve"> 2-3 mi</t>
  </si>
  <si>
    <t xml:space="preserve"> 3-5 mi</t>
  </si>
  <si>
    <t xml:space="preserve"> 5-10 mi</t>
  </si>
  <si>
    <t xml:space="preserve"> 10+ mi</t>
  </si>
  <si>
    <t>assumed %shift from Vehicles to Walk/Bike</t>
  </si>
  <si>
    <t>Trip Length Bins*</t>
  </si>
  <si>
    <t>Bridges</t>
  </si>
  <si>
    <t>Total***</t>
  </si>
  <si>
    <t>2019 Daily Trips</t>
  </si>
  <si>
    <t>High St</t>
  </si>
  <si>
    <t>Third St</t>
  </si>
  <si>
    <t>Fourth St</t>
  </si>
  <si>
    <t>Average Trip Length (miles)</t>
  </si>
  <si>
    <t>2019 Daily VMT</t>
  </si>
  <si>
    <t>FourthSt</t>
  </si>
  <si>
    <t>HighSt</t>
  </si>
  <si>
    <t>ThirdSt</t>
  </si>
  <si>
    <t>Mode Shift to Walk/Bike due to Dedicated Facilities**</t>
  </si>
  <si>
    <t>%Reduction</t>
  </si>
  <si>
    <t>2019 Daily VMT reduction</t>
  </si>
  <si>
    <t>Total daily VMT reduction</t>
  </si>
  <si>
    <t>Annualization</t>
  </si>
  <si>
    <t>Total annual VMT reduction</t>
  </si>
  <si>
    <t>Annual Linear Growth Rate****</t>
  </si>
  <si>
    <t>*** i.e., 2019 AADT (annual average daily traffic)</t>
  </si>
  <si>
    <t>**** based on MORPC's regional travel demand model from 2018 to 2050</t>
  </si>
  <si>
    <t>VMT Reduced**</t>
  </si>
  <si>
    <t>**See Streetlight Insight 2019 Tab for Methodology</t>
  </si>
  <si>
    <t>** Assuming half values of the mode share numbers by trip length shown in NHTS 2009, See NHTS2009 Tab</t>
  </si>
  <si>
    <t xml:space="preserve"> 10+ mi*****</t>
  </si>
  <si>
    <t>* Based on StreetLight Insight Data - all vehicles, Mon - Sun, all days 2019</t>
  </si>
  <si>
    <t>***** Lower limit (10 miles) chosen as average trip length for this range for conservative vmt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</si>
</sst>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#,##0.0000_);\(#,##0.0000\)"/>
    <numFmt numFmtId="168" formatCode="_(* #,##0_);_(* \(#,##0\);_(* &quot;-&quot;??_);_(@_)"/>
    <numFmt numFmtId="169" formatCode="0.0%"/>
    <numFmt numFmtId="170" formatCode="_(* #,##0.0_);_(* \(#,##0.0\);_(* &quot;-&quot;??_);_(@_)"/>
  </numFmts>
  <fonts count="74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sz val="12"/>
      <name val="Arial"/>
      <family val="2"/>
    </font>
    <font>
      <sz val="12"/>
      <name val="Arial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name val="Verdana"/>
    </font>
    <font>
      <sz val="11"/>
      <name val="Calibri"/>
      <family val="2"/>
    </font>
    <font>
      <sz val="10"/>
      <name val="Trebuchet MS"/>
      <family val="2"/>
    </font>
    <font>
      <b/>
      <sz val="11"/>
      <color theme="1"/>
      <name val="Trebuchet MS"/>
      <family val="2"/>
    </font>
    <font>
      <sz val="11"/>
      <color rgb="FFFF0000"/>
      <name val="Trebuchet MS"/>
      <family val="2"/>
    </font>
    <font>
      <b/>
      <u/>
      <sz val="11"/>
      <color theme="1"/>
      <name val="Trebuchet MS"/>
      <family val="2"/>
    </font>
    <font>
      <u/>
      <sz val="11"/>
      <color theme="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1"/>
      <color theme="1"/>
      <name val="Calibri"/>
      <family val="2"/>
    </font>
    <font>
      <u/>
      <sz val="11"/>
      <color rgb="FF00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47">
    <xf numFmtId="0" fontId="0" fillId="0" borderId="0"/>
    <xf numFmtId="44" fontId="29" fillId="0" borderId="0" applyFont="0" applyFill="0" applyBorder="0" applyAlignment="0" applyProtection="0"/>
    <xf numFmtId="0" fontId="26" fillId="0" borderId="0"/>
    <xf numFmtId="0" fontId="25" fillId="0" borderId="0"/>
    <xf numFmtId="44" fontId="25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3" fillId="0" borderId="0"/>
    <xf numFmtId="0" fontId="26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48" fillId="0" borderId="0"/>
    <xf numFmtId="0" fontId="49" fillId="0" borderId="0"/>
    <xf numFmtId="0" fontId="50" fillId="0" borderId="0" applyNumberFormat="0" applyFill="0" applyBorder="0" applyAlignment="0" applyProtection="0"/>
    <xf numFmtId="0" fontId="20" fillId="0" borderId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47" fillId="14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6" borderId="0" applyNumberFormat="0" applyBorder="0" applyAlignment="0" applyProtection="0"/>
    <xf numFmtId="0" fontId="47" fillId="30" borderId="0" applyNumberFormat="0" applyBorder="0" applyAlignment="0" applyProtection="0"/>
    <xf numFmtId="0" fontId="47" fillId="34" borderId="0" applyNumberFormat="0" applyBorder="0" applyAlignment="0" applyProtection="0"/>
    <xf numFmtId="0" fontId="47" fillId="11" borderId="0" applyNumberFormat="0" applyBorder="0" applyAlignment="0" applyProtection="0"/>
    <xf numFmtId="0" fontId="47" fillId="15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38" fillId="5" borderId="0" applyNumberFormat="0" applyBorder="0" applyAlignment="0" applyProtection="0"/>
    <xf numFmtId="0" fontId="42" fillId="8" borderId="6" applyNumberFormat="0" applyAlignment="0" applyProtection="0"/>
    <xf numFmtId="0" fontId="44" fillId="9" borderId="9" applyNumberFormat="0" applyAlignment="0" applyProtection="0"/>
    <xf numFmtId="43" fontId="48" fillId="0" borderId="0" applyFont="0" applyFill="0" applyBorder="0" applyAlignment="0" applyProtection="0"/>
    <xf numFmtId="3" fontId="48" fillId="36" borderId="0" applyFont="0" applyFill="0" applyBorder="0" applyAlignment="0" applyProtection="0"/>
    <xf numFmtId="3" fontId="48" fillId="36" borderId="0" applyFont="0" applyFill="0" applyBorder="0" applyAlignment="0" applyProtection="0"/>
    <xf numFmtId="5" fontId="48" fillId="36" borderId="0" applyFont="0" applyFill="0" applyBorder="0" applyAlignment="0" applyProtection="0"/>
    <xf numFmtId="5" fontId="48" fillId="36" borderId="0" applyFont="0" applyFill="0" applyBorder="0" applyAlignment="0" applyProtection="0"/>
    <xf numFmtId="0" fontId="48" fillId="36" borderId="0" applyFont="0" applyFill="0" applyBorder="0" applyAlignment="0" applyProtection="0"/>
    <xf numFmtId="0" fontId="48" fillId="36" borderId="0" applyFont="0" applyFill="0" applyBorder="0" applyAlignment="0" applyProtection="0"/>
    <xf numFmtId="0" fontId="46" fillId="0" borderId="0" applyNumberFormat="0" applyFill="0" applyBorder="0" applyAlignment="0" applyProtection="0"/>
    <xf numFmtId="2" fontId="48" fillId="36" borderId="0" applyFont="0" applyFill="0" applyBorder="0" applyAlignment="0" applyProtection="0"/>
    <xf numFmtId="2" fontId="48" fillId="36" borderId="0" applyFont="0" applyFill="0" applyBorder="0" applyAlignment="0" applyProtection="0"/>
    <xf numFmtId="0" fontId="37" fillId="4" borderId="0" applyNumberFormat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40" fillId="7" borderId="6" applyNumberFormat="0" applyAlignment="0" applyProtection="0"/>
    <xf numFmtId="0" fontId="43" fillId="0" borderId="8" applyNumberFormat="0" applyFill="0" applyAlignment="0" applyProtection="0"/>
    <xf numFmtId="0" fontId="39" fillId="6" borderId="0" applyNumberFormat="0" applyBorder="0" applyAlignment="0" applyProtection="0"/>
    <xf numFmtId="0" fontId="48" fillId="0" borderId="0">
      <alignment vertical="top"/>
    </xf>
    <xf numFmtId="0" fontId="20" fillId="10" borderId="10" applyNumberFormat="0" applyFont="0" applyAlignment="0" applyProtection="0"/>
    <xf numFmtId="0" fontId="41" fillId="8" borderId="7" applyNumberFormat="0" applyAlignment="0" applyProtection="0"/>
    <xf numFmtId="0" fontId="30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52" fillId="0" borderId="0"/>
    <xf numFmtId="0" fontId="18" fillId="0" borderId="0"/>
    <xf numFmtId="0" fontId="4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8" fillId="0" borderId="0"/>
    <xf numFmtId="0" fontId="18" fillId="10" borderId="10" applyNumberFormat="0" applyFon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8" fillId="0" borderId="0"/>
    <xf numFmtId="0" fontId="1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0" applyNumberFormat="0" applyFont="0" applyAlignment="0" applyProtection="0"/>
    <xf numFmtId="0" fontId="18" fillId="0" borderId="0"/>
    <xf numFmtId="0" fontId="53" fillId="0" borderId="0" applyNumberFormat="0" applyFill="0" applyBorder="0" applyAlignment="0" applyProtection="0"/>
    <xf numFmtId="0" fontId="1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0" applyNumberFormat="0" applyFont="0" applyAlignment="0" applyProtection="0"/>
    <xf numFmtId="0" fontId="18" fillId="0" borderId="0"/>
    <xf numFmtId="0" fontId="1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0" applyNumberFormat="0" applyFont="0" applyAlignment="0" applyProtection="0"/>
    <xf numFmtId="0" fontId="18" fillId="0" borderId="0"/>
    <xf numFmtId="0" fontId="1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0" applyNumberFormat="0" applyFont="0" applyAlignment="0" applyProtection="0"/>
    <xf numFmtId="0" fontId="18" fillId="0" borderId="0"/>
    <xf numFmtId="0" fontId="18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0" applyNumberFormat="0" applyFont="0" applyAlignment="0" applyProtection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0" applyNumberFormat="0" applyFont="0" applyAlignment="0" applyProtection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6" applyNumberFormat="0" applyAlignment="0" applyProtection="0"/>
    <xf numFmtId="0" fontId="41" fillId="8" borderId="7" applyNumberFormat="0" applyAlignment="0" applyProtection="0"/>
    <xf numFmtId="0" fontId="42" fillId="8" borderId="6" applyNumberFormat="0" applyAlignment="0" applyProtection="0"/>
    <xf numFmtId="0" fontId="43" fillId="0" borderId="8" applyNumberFormat="0" applyFill="0" applyAlignment="0" applyProtection="0"/>
    <xf numFmtId="0" fontId="44" fillId="9" borderId="9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47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47" fillId="34" borderId="0" applyNumberFormat="0" applyBorder="0" applyAlignment="0" applyProtection="0"/>
    <xf numFmtId="0" fontId="55" fillId="0" borderId="0"/>
    <xf numFmtId="0" fontId="16" fillId="0" borderId="0"/>
    <xf numFmtId="0" fontId="16" fillId="0" borderId="0"/>
    <xf numFmtId="0" fontId="56" fillId="0" borderId="0"/>
    <xf numFmtId="0" fontId="16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16" fillId="10" borderId="10" applyNumberFormat="0" applyFont="0" applyAlignment="0" applyProtection="0"/>
    <xf numFmtId="0" fontId="16" fillId="0" borderId="0"/>
    <xf numFmtId="0" fontId="16" fillId="10" borderId="10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0" applyNumberFormat="0" applyFont="0" applyAlignment="0" applyProtection="0"/>
    <xf numFmtId="0" fontId="15" fillId="0" borderId="0"/>
    <xf numFmtId="0" fontId="15" fillId="10" borderId="10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0" applyNumberFormat="0" applyFont="0" applyAlignment="0" applyProtection="0"/>
    <xf numFmtId="0" fontId="14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58" fillId="0" borderId="0"/>
    <xf numFmtId="0" fontId="3" fillId="0" borderId="0"/>
    <xf numFmtId="0" fontId="3" fillId="0" borderId="0"/>
    <xf numFmtId="0" fontId="55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0" applyNumberFormat="0" applyFont="0" applyAlignment="0" applyProtection="0"/>
    <xf numFmtId="0" fontId="3" fillId="0" borderId="0"/>
    <xf numFmtId="0" fontId="3" fillId="10" borderId="10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44" fontId="55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1">
    <xf numFmtId="0" fontId="0" fillId="0" borderId="0" xfId="0"/>
    <xf numFmtId="0" fontId="0" fillId="0" borderId="2" xfId="0" applyBorder="1"/>
    <xf numFmtId="164" fontId="0" fillId="0" borderId="0" xfId="1" applyNumberFormat="1" applyFont="1"/>
    <xf numFmtId="0" fontId="25" fillId="0" borderId="0" xfId="3"/>
    <xf numFmtId="0" fontId="31" fillId="0" borderId="0" xfId="3" applyFont="1"/>
    <xf numFmtId="0" fontId="26" fillId="0" borderId="2" xfId="2" applyBorder="1" applyAlignment="1">
      <alignment horizontal="center" vertical="center" wrapText="1"/>
    </xf>
    <xf numFmtId="164" fontId="26" fillId="0" borderId="2" xfId="2" applyNumberFormat="1" applyBorder="1" applyAlignment="1">
      <alignment horizontal="center" vertical="center" wrapText="1"/>
    </xf>
    <xf numFmtId="2" fontId="26" fillId="0" borderId="2" xfId="2" applyNumberFormat="1" applyBorder="1" applyAlignment="1">
      <alignment horizontal="center" vertical="center" wrapText="1"/>
    </xf>
    <xf numFmtId="0" fontId="25" fillId="0" borderId="2" xfId="3" applyBorder="1" applyAlignment="1">
      <alignment horizontal="center"/>
    </xf>
    <xf numFmtId="0" fontId="25" fillId="0" borderId="0" xfId="3" applyAlignment="1">
      <alignment horizontal="center"/>
    </xf>
    <xf numFmtId="0" fontId="22" fillId="0" borderId="0" xfId="3" applyFont="1" applyAlignment="1">
      <alignment horizontal="center"/>
    </xf>
    <xf numFmtId="0" fontId="25" fillId="0" borderId="0" xfId="3" applyBorder="1" applyAlignment="1">
      <alignment horizontal="center"/>
    </xf>
    <xf numFmtId="0" fontId="25" fillId="0" borderId="2" xfId="3" applyBorder="1"/>
    <xf numFmtId="165" fontId="0" fillId="0" borderId="2" xfId="4" applyNumberFormat="1" applyFont="1" applyBorder="1"/>
    <xf numFmtId="8" fontId="25" fillId="0" borderId="2" xfId="3" applyNumberFormat="1" applyBorder="1"/>
    <xf numFmtId="0" fontId="32" fillId="0" borderId="0" xfId="3" applyFont="1" applyAlignment="1"/>
    <xf numFmtId="0" fontId="22" fillId="0" borderId="0" xfId="3" applyFont="1" applyAlignment="1"/>
    <xf numFmtId="0" fontId="26" fillId="0" borderId="1" xfId="2" applyBorder="1" applyAlignment="1">
      <alignment horizontal="center" vertical="center" wrapText="1"/>
    </xf>
    <xf numFmtId="0" fontId="26" fillId="0" borderId="2" xfId="2" applyBorder="1"/>
    <xf numFmtId="0" fontId="27" fillId="2" borderId="2" xfId="2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0" fontId="26" fillId="0" borderId="0" xfId="0" applyFont="1" applyBorder="1"/>
    <xf numFmtId="44" fontId="0" fillId="0" borderId="2" xfId="1" applyFont="1" applyBorder="1"/>
    <xf numFmtId="44" fontId="0" fillId="0" borderId="0" xfId="0" applyNumberFormat="1" applyBorder="1"/>
    <xf numFmtId="0" fontId="26" fillId="0" borderId="0" xfId="0" applyFont="1"/>
    <xf numFmtId="2" fontId="25" fillId="0" borderId="2" xfId="3" applyNumberFormat="1" applyBorder="1" applyAlignment="1">
      <alignment horizontal="center"/>
    </xf>
    <xf numFmtId="0" fontId="26" fillId="2" borderId="2" xfId="0" applyFont="1" applyFill="1" applyBorder="1" applyAlignment="1">
      <alignment horizontal="center" vertical="center" wrapText="1"/>
    </xf>
    <xf numFmtId="2" fontId="26" fillId="0" borderId="1" xfId="2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44" fontId="0" fillId="0" borderId="2" xfId="1" applyFont="1" applyBorder="1" applyAlignment="1">
      <alignment horizontal="center" vertical="center"/>
    </xf>
    <xf numFmtId="44" fontId="25" fillId="0" borderId="0" xfId="1" applyFont="1" applyBorder="1" applyAlignment="1">
      <alignment horizontal="center"/>
    </xf>
    <xf numFmtId="0" fontId="22" fillId="0" borderId="0" xfId="3" applyFont="1" applyBorder="1" applyAlignment="1">
      <alignment horizontal="center"/>
    </xf>
    <xf numFmtId="0" fontId="0" fillId="0" borderId="2" xfId="0" applyBorder="1" applyAlignment="1">
      <alignment horizontal="right"/>
    </xf>
    <xf numFmtId="8" fontId="25" fillId="0" borderId="0" xfId="3" applyNumberFormat="1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165" fontId="0" fillId="0" borderId="0" xfId="4" applyNumberFormat="1" applyFont="1" applyBorder="1"/>
    <xf numFmtId="164" fontId="27" fillId="2" borderId="2" xfId="2" applyNumberFormat="1" applyFont="1" applyFill="1" applyBorder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center" wrapText="1"/>
    </xf>
    <xf numFmtId="44" fontId="27" fillId="0" borderId="0" xfId="0" applyNumberFormat="1" applyFont="1"/>
    <xf numFmtId="0" fontId="0" fillId="2" borderId="2" xfId="0" applyFill="1" applyBorder="1" applyAlignment="1">
      <alignment horizontal="center" vertical="center" wrapText="1"/>
    </xf>
    <xf numFmtId="164" fontId="26" fillId="2" borderId="2" xfId="1" applyNumberFormat="1" applyFont="1" applyFill="1" applyBorder="1" applyAlignment="1">
      <alignment horizontal="center" vertical="center" wrapText="1"/>
    </xf>
    <xf numFmtId="44" fontId="27" fillId="0" borderId="0" xfId="0" applyNumberFormat="1" applyFont="1" applyBorder="1"/>
    <xf numFmtId="164" fontId="0" fillId="0" borderId="2" xfId="1" applyNumberFormat="1" applyFont="1" applyBorder="1"/>
    <xf numFmtId="0" fontId="28" fillId="0" borderId="0" xfId="0" applyFont="1" applyBorder="1" applyAlignment="1"/>
    <xf numFmtId="0" fontId="28" fillId="0" borderId="0" xfId="0" applyFont="1" applyFill="1" applyBorder="1" applyAlignment="1"/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0" fillId="0" borderId="0" xfId="1" applyNumberFormat="1" applyFont="1" applyFill="1" applyBorder="1"/>
    <xf numFmtId="164" fontId="27" fillId="0" borderId="0" xfId="0" applyNumberFormat="1" applyFont="1" applyBorder="1"/>
    <xf numFmtId="0" fontId="30" fillId="2" borderId="2" xfId="3" applyFont="1" applyFill="1" applyBorder="1" applyAlignment="1">
      <alignment horizontal="center" vertical="center"/>
    </xf>
    <xf numFmtId="0" fontId="30" fillId="2" borderId="2" xfId="3" applyFont="1" applyFill="1" applyBorder="1" applyAlignment="1">
      <alignment horizontal="center" vertical="center" wrapText="1"/>
    </xf>
    <xf numFmtId="0" fontId="48" fillId="0" borderId="0" xfId="21" applyFont="1" applyFill="1" applyBorder="1" applyAlignment="1"/>
    <xf numFmtId="0" fontId="20" fillId="0" borderId="0" xfId="24" applyBorder="1"/>
    <xf numFmtId="0" fontId="20" fillId="0" borderId="0" xfId="24"/>
    <xf numFmtId="3" fontId="20" fillId="0" borderId="0" xfId="24" applyNumberFormat="1" applyBorder="1"/>
    <xf numFmtId="3" fontId="20" fillId="0" borderId="0" xfId="24" applyNumberFormat="1"/>
    <xf numFmtId="4" fontId="26" fillId="0" borderId="2" xfId="2" applyNumberFormat="1" applyBorder="1" applyAlignment="1">
      <alignment horizontal="center" vertical="center" wrapText="1"/>
    </xf>
    <xf numFmtId="164" fontId="26" fillId="0" borderId="2" xfId="2" applyNumberFormat="1" applyFill="1" applyBorder="1" applyAlignment="1">
      <alignment horizontal="center" vertical="center" wrapText="1"/>
    </xf>
    <xf numFmtId="164" fontId="26" fillId="0" borderId="2" xfId="2" applyNumberFormat="1" applyFill="1" applyBorder="1"/>
    <xf numFmtId="164" fontId="0" fillId="0" borderId="2" xfId="0" applyNumberFormat="1" applyBorder="1"/>
    <xf numFmtId="44" fontId="0" fillId="35" borderId="2" xfId="1" applyFont="1" applyFill="1" applyBorder="1"/>
    <xf numFmtId="44" fontId="0" fillId="39" borderId="2" xfId="1" applyFont="1" applyFill="1" applyBorder="1"/>
    <xf numFmtId="44" fontId="0" fillId="40" borderId="2" xfId="1" applyFont="1" applyFill="1" applyBorder="1"/>
    <xf numFmtId="44" fontId="0" fillId="3" borderId="2" xfId="1" applyFont="1" applyFill="1" applyBorder="1"/>
    <xf numFmtId="164" fontId="0" fillId="0" borderId="0" xfId="0" applyNumberFormat="1"/>
    <xf numFmtId="164" fontId="0" fillId="35" borderId="2" xfId="1" applyNumberFormat="1" applyFont="1" applyFill="1" applyBorder="1"/>
    <xf numFmtId="0" fontId="26" fillId="0" borderId="0" xfId="0" applyFont="1" applyFill="1"/>
    <xf numFmtId="2" fontId="0" fillId="0" borderId="0" xfId="0" applyNumberFormat="1"/>
    <xf numFmtId="0" fontId="19" fillId="0" borderId="2" xfId="3" applyFont="1" applyBorder="1" applyAlignment="1">
      <alignment horizontal="center" wrapText="1"/>
    </xf>
    <xf numFmtId="0" fontId="30" fillId="0" borderId="0" xfId="182" applyFont="1"/>
    <xf numFmtId="0" fontId="18" fillId="0" borderId="0" xfId="182" applyFill="1"/>
    <xf numFmtId="10" fontId="0" fillId="0" borderId="0" xfId="0" applyNumberFormat="1"/>
    <xf numFmtId="1" fontId="26" fillId="0" borderId="2" xfId="14" applyNumberFormat="1" applyFill="1" applyBorder="1"/>
    <xf numFmtId="2" fontId="26" fillId="0" borderId="2" xfId="14" applyNumberFormat="1" applyFill="1" applyBorder="1"/>
    <xf numFmtId="1" fontId="26" fillId="0" borderId="2" xfId="14" applyNumberFormat="1" applyFill="1" applyBorder="1"/>
    <xf numFmtId="4" fontId="0" fillId="0" borderId="0" xfId="0" applyNumberFormat="1"/>
    <xf numFmtId="164" fontId="27" fillId="2" borderId="2" xfId="1" applyNumberFormat="1" applyFont="1" applyFill="1" applyBorder="1" applyAlignment="1">
      <alignment horizontal="center" vertical="center" wrapText="1"/>
    </xf>
    <xf numFmtId="3" fontId="51" fillId="38" borderId="2" xfId="182" quotePrefix="1" applyNumberFormat="1" applyFont="1" applyFill="1" applyBorder="1"/>
    <xf numFmtId="166" fontId="30" fillId="3" borderId="2" xfId="182" applyNumberFormat="1" applyFont="1" applyFill="1" applyBorder="1"/>
    <xf numFmtId="166" fontId="51" fillId="38" borderId="2" xfId="182" applyNumberFormat="1" applyFont="1" applyFill="1" applyBorder="1"/>
    <xf numFmtId="44" fontId="24" fillId="0" borderId="2" xfId="1" applyNumberFormat="1" applyFont="1" applyBorder="1" applyAlignment="1">
      <alignment horizontal="center"/>
    </xf>
    <xf numFmtId="1" fontId="25" fillId="0" borderId="0" xfId="3" applyNumberFormat="1"/>
    <xf numFmtId="44" fontId="0" fillId="0" borderId="0" xfId="1" applyFont="1" applyBorder="1" applyAlignment="1">
      <alignment horizontal="center" vertical="center"/>
    </xf>
    <xf numFmtId="2" fontId="25" fillId="0" borderId="0" xfId="3" applyNumberFormat="1" applyBorder="1" applyAlignment="1">
      <alignment horizontal="center"/>
    </xf>
    <xf numFmtId="0" fontId="12" fillId="0" borderId="0" xfId="3" applyFont="1" applyFill="1"/>
    <xf numFmtId="0" fontId="18" fillId="0" borderId="0" xfId="182"/>
    <xf numFmtId="0" fontId="18" fillId="0" borderId="2" xfId="182" applyBorder="1" applyAlignment="1">
      <alignment horizontal="center"/>
    </xf>
    <xf numFmtId="0" fontId="51" fillId="38" borderId="2" xfId="182" applyFont="1" applyFill="1" applyBorder="1" applyAlignment="1">
      <alignment horizontal="center" wrapText="1"/>
    </xf>
    <xf numFmtId="0" fontId="51" fillId="37" borderId="2" xfId="182" applyFont="1" applyFill="1" applyBorder="1" applyAlignment="1">
      <alignment horizontal="center" wrapText="1"/>
    </xf>
    <xf numFmtId="0" fontId="18" fillId="0" borderId="2" xfId="182" applyBorder="1"/>
    <xf numFmtId="0" fontId="51" fillId="0" borderId="0" xfId="182" applyFont="1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 applyBorder="1"/>
    <xf numFmtId="0" fontId="13" fillId="0" borderId="0" xfId="3" applyFont="1" applyBorder="1" applyAlignment="1">
      <alignment horizontal="center"/>
    </xf>
    <xf numFmtId="44" fontId="25" fillId="0" borderId="0" xfId="3" applyNumberFormat="1" applyBorder="1" applyAlignment="1">
      <alignment horizontal="center"/>
    </xf>
    <xf numFmtId="0" fontId="11" fillId="0" borderId="0" xfId="182" applyFont="1"/>
    <xf numFmtId="166" fontId="18" fillId="0" borderId="0" xfId="182" applyNumberFormat="1"/>
    <xf numFmtId="3" fontId="11" fillId="0" borderId="0" xfId="182" applyNumberFormat="1" applyFont="1" applyBorder="1"/>
    <xf numFmtId="3" fontId="18" fillId="0" borderId="0" xfId="182" applyNumberFormat="1"/>
    <xf numFmtId="3" fontId="18" fillId="0" borderId="0" xfId="182" applyNumberFormat="1" applyBorder="1"/>
    <xf numFmtId="0" fontId="18" fillId="0" borderId="0" xfId="182" applyBorder="1"/>
    <xf numFmtId="0" fontId="18" fillId="0" borderId="0" xfId="182" applyFill="1" applyBorder="1" applyAlignment="1"/>
    <xf numFmtId="0" fontId="18" fillId="0" borderId="12" xfId="182" applyBorder="1"/>
    <xf numFmtId="0" fontId="10" fillId="0" borderId="2" xfId="3" applyFont="1" applyBorder="1" applyAlignment="1">
      <alignment horizontal="center" wrapText="1"/>
    </xf>
    <xf numFmtId="39" fontId="24" fillId="0" borderId="2" xfId="1" applyNumberFormat="1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9" fillId="0" borderId="0" xfId="3" applyFont="1" applyBorder="1"/>
    <xf numFmtId="0" fontId="0" fillId="0" borderId="2" xfId="0" applyBorder="1" applyAlignment="1">
      <alignment wrapText="1"/>
    </xf>
    <xf numFmtId="44" fontId="0" fillId="0" borderId="2" xfId="1" applyFont="1" applyBorder="1" applyAlignment="1">
      <alignment wrapText="1"/>
    </xf>
    <xf numFmtId="167" fontId="0" fillId="0" borderId="2" xfId="1" applyNumberFormat="1" applyFont="1" applyBorder="1"/>
    <xf numFmtId="0" fontId="0" fillId="0" borderId="2" xfId="0" applyFill="1" applyBorder="1"/>
    <xf numFmtId="164" fontId="27" fillId="0" borderId="0" xfId="1" applyNumberFormat="1" applyFont="1" applyFill="1" applyBorder="1"/>
    <xf numFmtId="0" fontId="0" fillId="0" borderId="14" xfId="0" applyBorder="1"/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182" applyFont="1"/>
    <xf numFmtId="164" fontId="0" fillId="0" borderId="15" xfId="0" applyNumberFormat="1" applyBorder="1"/>
    <xf numFmtId="0" fontId="7" fillId="0" borderId="0" xfId="3" applyFont="1"/>
    <xf numFmtId="0" fontId="6" fillId="0" borderId="0" xfId="182" applyFont="1"/>
    <xf numFmtId="44" fontId="0" fillId="0" borderId="2" xfId="1" applyFont="1" applyFill="1" applyBorder="1"/>
    <xf numFmtId="44" fontId="0" fillId="0" borderId="2" xfId="0" applyNumberFormat="1" applyBorder="1"/>
    <xf numFmtId="44" fontId="0" fillId="41" borderId="2" xfId="1" applyFont="1" applyFill="1" applyBorder="1"/>
    <xf numFmtId="0" fontId="0" fillId="2" borderId="15" xfId="0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164" fontId="0" fillId="0" borderId="2" xfId="1" applyNumberFormat="1" applyFont="1" applyFill="1" applyBorder="1"/>
    <xf numFmtId="164" fontId="0" fillId="42" borderId="2" xfId="1" applyNumberFormat="1" applyFont="1" applyFill="1" applyBorder="1"/>
    <xf numFmtId="164" fontId="0" fillId="41" borderId="2" xfId="1" applyNumberFormat="1" applyFont="1" applyFill="1" applyBorder="1"/>
    <xf numFmtId="0" fontId="27" fillId="0" borderId="14" xfId="0" applyFont="1" applyFill="1" applyBorder="1"/>
    <xf numFmtId="0" fontId="27" fillId="0" borderId="2" xfId="0" applyFont="1" applyFill="1" applyBorder="1"/>
    <xf numFmtId="2" fontId="0" fillId="0" borderId="2" xfId="1" applyNumberFormat="1" applyFont="1" applyBorder="1"/>
    <xf numFmtId="164" fontId="27" fillId="0" borderId="2" xfId="1" applyNumberFormat="1" applyFont="1" applyBorder="1" applyAlignment="1">
      <alignment horizontal="center"/>
    </xf>
    <xf numFmtId="0" fontId="5" fillId="0" borderId="0" xfId="3" applyFont="1"/>
    <xf numFmtId="2" fontId="26" fillId="0" borderId="2" xfId="2" applyNumberFormat="1" applyFill="1" applyBorder="1"/>
    <xf numFmtId="164" fontId="26" fillId="0" borderId="0" xfId="2" applyNumberFormat="1" applyFill="1" applyBorder="1" applyAlignment="1">
      <alignment horizontal="center" vertical="center" wrapText="1"/>
    </xf>
    <xf numFmtId="0" fontId="26" fillId="0" borderId="2" xfId="2" applyFill="1" applyBorder="1" applyAlignment="1">
      <alignment horizontal="center" vertical="center" wrapText="1"/>
    </xf>
    <xf numFmtId="0" fontId="4" fillId="0" borderId="0" xfId="182" applyFont="1" applyFill="1"/>
    <xf numFmtId="0" fontId="4" fillId="0" borderId="0" xfId="182" applyFont="1"/>
    <xf numFmtId="0" fontId="26" fillId="0" borderId="0" xfId="2" applyBorder="1"/>
    <xf numFmtId="0" fontId="26" fillId="0" borderId="0" xfId="2" applyFill="1" applyBorder="1" applyAlignment="1">
      <alignment horizontal="center" vertical="center" wrapText="1"/>
    </xf>
    <xf numFmtId="2" fontId="26" fillId="0" borderId="0" xfId="2" applyNumberFormat="1" applyBorder="1" applyAlignment="1">
      <alignment horizontal="center" vertical="center" wrapText="1"/>
    </xf>
    <xf numFmtId="164" fontId="0" fillId="0" borderId="13" xfId="1" applyNumberFormat="1" applyFont="1" applyFill="1" applyBorder="1"/>
    <xf numFmtId="164" fontId="0" fillId="0" borderId="13" xfId="0" applyNumberFormat="1" applyFill="1" applyBorder="1"/>
    <xf numFmtId="2" fontId="26" fillId="0" borderId="2" xfId="14" applyNumberFormat="1" applyFill="1" applyBorder="1"/>
    <xf numFmtId="2" fontId="26" fillId="0" borderId="2" xfId="14" applyNumberFormat="1" applyFill="1" applyBorder="1"/>
    <xf numFmtId="0" fontId="2" fillId="0" borderId="2" xfId="3" applyFont="1" applyBorder="1" applyAlignment="1">
      <alignment horizontal="center" wrapText="1"/>
    </xf>
    <xf numFmtId="165" fontId="0" fillId="0" borderId="2" xfId="1" applyNumberFormat="1" applyFont="1" applyBorder="1"/>
    <xf numFmtId="165" fontId="0" fillId="0" borderId="2" xfId="1" applyNumberFormat="1" applyFont="1" applyBorder="1" applyAlignment="1">
      <alignment horizontal="center" vertical="center"/>
    </xf>
    <xf numFmtId="164" fontId="26" fillId="0" borderId="0" xfId="2" applyNumberFormat="1" applyFill="1" applyBorder="1"/>
    <xf numFmtId="2" fontId="26" fillId="0" borderId="0" xfId="14" applyNumberFormat="1" applyFill="1" applyBorder="1"/>
    <xf numFmtId="164" fontId="26" fillId="0" borderId="0" xfId="2" applyNumberFormat="1" applyBorder="1" applyAlignment="1">
      <alignment horizontal="center" vertical="center" wrapText="1"/>
    </xf>
    <xf numFmtId="4" fontId="26" fillId="0" borderId="0" xfId="2" applyNumberFormat="1" applyBorder="1" applyAlignment="1">
      <alignment horizontal="center" vertical="center" wrapText="1"/>
    </xf>
    <xf numFmtId="164" fontId="0" fillId="0" borderId="0" xfId="0" applyNumberFormat="1" applyBorder="1"/>
    <xf numFmtId="164" fontId="26" fillId="2" borderId="13" xfId="1" applyNumberFormat="1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Fill="1"/>
    <xf numFmtId="8" fontId="26" fillId="0" borderId="18" xfId="0" applyNumberFormat="1" applyFont="1" applyBorder="1" applyAlignment="1">
      <alignment horizontal="right" vertical="center"/>
    </xf>
    <xf numFmtId="0" fontId="26" fillId="0" borderId="0" xfId="2"/>
    <xf numFmtId="0" fontId="26" fillId="0" borderId="20" xfId="2" applyBorder="1"/>
    <xf numFmtId="0" fontId="26" fillId="0" borderId="21" xfId="2" applyBorder="1"/>
    <xf numFmtId="0" fontId="26" fillId="0" borderId="24" xfId="2" applyBorder="1"/>
    <xf numFmtId="0" fontId="26" fillId="43" borderId="26" xfId="2" applyFill="1" applyBorder="1"/>
    <xf numFmtId="0" fontId="26" fillId="43" borderId="27" xfId="2" applyFill="1" applyBorder="1"/>
    <xf numFmtId="0" fontId="26" fillId="43" borderId="26" xfId="2" applyFill="1" applyBorder="1" applyAlignment="1">
      <alignment horizontal="center"/>
    </xf>
    <xf numFmtId="0" fontId="26" fillId="43" borderId="27" xfId="2" applyFill="1" applyBorder="1" applyAlignment="1">
      <alignment horizontal="center"/>
    </xf>
    <xf numFmtId="3" fontId="26" fillId="43" borderId="26" xfId="2" applyNumberFormat="1" applyFill="1" applyBorder="1" applyAlignment="1">
      <alignment horizontal="center"/>
    </xf>
    <xf numFmtId="0" fontId="26" fillId="43" borderId="28" xfId="2" applyFill="1" applyBorder="1"/>
    <xf numFmtId="0" fontId="26" fillId="43" borderId="30" xfId="2" applyFill="1" applyBorder="1"/>
    <xf numFmtId="44" fontId="0" fillId="0" borderId="0" xfId="1" applyFont="1"/>
    <xf numFmtId="44" fontId="0" fillId="0" borderId="0" xfId="0" applyNumberFormat="1"/>
    <xf numFmtId="164" fontId="27" fillId="2" borderId="13" xfId="2" applyNumberFormat="1" applyFont="1" applyFill="1" applyBorder="1" applyAlignment="1">
      <alignment horizontal="center" vertical="center" wrapText="1"/>
    </xf>
    <xf numFmtId="0" fontId="27" fillId="2" borderId="13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/>
    <xf numFmtId="44" fontId="0" fillId="46" borderId="2" xfId="1" applyFont="1" applyFill="1" applyBorder="1"/>
    <xf numFmtId="0" fontId="26" fillId="0" borderId="2" xfId="0" applyFont="1" applyBorder="1" applyAlignment="1">
      <alignment wrapText="1"/>
    </xf>
    <xf numFmtId="8" fontId="0" fillId="0" borderId="0" xfId="0" applyNumberFormat="1"/>
    <xf numFmtId="44" fontId="26" fillId="0" borderId="0" xfId="1" applyFont="1" applyBorder="1" applyAlignment="1">
      <alignment horizontal="center" vertical="center" wrapText="1"/>
    </xf>
    <xf numFmtId="2" fontId="26" fillId="0" borderId="13" xfId="2" applyNumberFormat="1" applyFill="1" applyBorder="1"/>
    <xf numFmtId="164" fontId="26" fillId="0" borderId="13" xfId="2" applyNumberFormat="1" applyFill="1" applyBorder="1"/>
    <xf numFmtId="164" fontId="26" fillId="0" borderId="12" xfId="2" applyNumberFormat="1" applyFill="1" applyBorder="1"/>
    <xf numFmtId="2" fontId="26" fillId="0" borderId="0" xfId="2" applyNumberFormat="1" applyFill="1" applyBorder="1"/>
    <xf numFmtId="164" fontId="0" fillId="0" borderId="0" xfId="0" applyNumberFormat="1" applyFill="1" applyBorder="1"/>
    <xf numFmtId="43" fontId="25" fillId="0" borderId="0" xfId="542" applyFont="1" applyBorder="1" applyAlignment="1">
      <alignment horizontal="center"/>
    </xf>
    <xf numFmtId="44" fontId="25" fillId="0" borderId="0" xfId="1" applyFont="1"/>
    <xf numFmtId="44" fontId="25" fillId="0" borderId="0" xfId="3" applyNumberFormat="1"/>
    <xf numFmtId="168" fontId="25" fillId="0" borderId="2" xfId="542" applyNumberFormat="1" applyFont="1" applyBorder="1"/>
    <xf numFmtId="165" fontId="25" fillId="0" borderId="2" xfId="1" applyNumberFormat="1" applyFont="1" applyBorder="1"/>
    <xf numFmtId="2" fontId="0" fillId="0" borderId="2" xfId="0" applyNumberFormat="1" applyBorder="1"/>
    <xf numFmtId="4" fontId="0" fillId="0" borderId="2" xfId="0" applyNumberFormat="1" applyBorder="1"/>
    <xf numFmtId="43" fontId="0" fillId="0" borderId="2" xfId="542" applyFont="1" applyBorder="1"/>
    <xf numFmtId="166" fontId="0" fillId="0" borderId="2" xfId="0" applyNumberFormat="1" applyBorder="1"/>
    <xf numFmtId="44" fontId="25" fillId="0" borderId="2" xfId="3" applyNumberFormat="1" applyBorder="1"/>
    <xf numFmtId="168" fontId="0" fillId="0" borderId="2" xfId="542" applyNumberFormat="1" applyFont="1" applyBorder="1"/>
    <xf numFmtId="168" fontId="0" fillId="0" borderId="0" xfId="542" applyNumberFormat="1" applyFont="1"/>
    <xf numFmtId="168" fontId="0" fillId="0" borderId="13" xfId="542" applyNumberFormat="1" applyFont="1" applyFill="1" applyBorder="1"/>
    <xf numFmtId="0" fontId="61" fillId="0" borderId="0" xfId="2" applyFont="1"/>
    <xf numFmtId="0" fontId="62" fillId="0" borderId="19" xfId="2" applyFont="1" applyBorder="1"/>
    <xf numFmtId="0" fontId="61" fillId="0" borderId="20" xfId="2" applyFont="1" applyBorder="1"/>
    <xf numFmtId="165" fontId="63" fillId="0" borderId="20" xfId="541" applyNumberFormat="1" applyFont="1" applyBorder="1"/>
    <xf numFmtId="0" fontId="61" fillId="0" borderId="23" xfId="2" applyFont="1" applyBorder="1"/>
    <xf numFmtId="0" fontId="61" fillId="0" borderId="0" xfId="2" applyFont="1" applyBorder="1"/>
    <xf numFmtId="0" fontId="62" fillId="0" borderId="2" xfId="2" applyFont="1" applyBorder="1" applyAlignment="1">
      <alignment horizontal="center"/>
    </xf>
    <xf numFmtId="0" fontId="62" fillId="0" borderId="2" xfId="2" applyFont="1" applyFill="1" applyBorder="1" applyAlignment="1">
      <alignment horizontal="center"/>
    </xf>
    <xf numFmtId="0" fontId="64" fillId="43" borderId="25" xfId="2" applyFont="1" applyFill="1" applyBorder="1"/>
    <xf numFmtId="0" fontId="65" fillId="43" borderId="26" xfId="2" applyFont="1" applyFill="1" applyBorder="1"/>
    <xf numFmtId="0" fontId="61" fillId="43" borderId="26" xfId="2" applyFont="1" applyFill="1" applyBorder="1"/>
    <xf numFmtId="6" fontId="61" fillId="43" borderId="26" xfId="2" applyNumberFormat="1" applyFont="1" applyFill="1" applyBorder="1"/>
    <xf numFmtId="44" fontId="62" fillId="0" borderId="2" xfId="2" applyNumberFormat="1" applyFont="1" applyBorder="1" applyAlignment="1">
      <alignment horizontal="center"/>
    </xf>
    <xf numFmtId="0" fontId="61" fillId="43" borderId="25" xfId="2" applyFont="1" applyFill="1" applyBorder="1"/>
    <xf numFmtId="0" fontId="61" fillId="43" borderId="26" xfId="2" applyFont="1" applyFill="1" applyBorder="1" applyAlignment="1">
      <alignment horizontal="center"/>
    </xf>
    <xf numFmtId="0" fontId="61" fillId="43" borderId="26" xfId="2" applyFont="1" applyFill="1" applyBorder="1" applyAlignment="1">
      <alignment horizontal="right"/>
    </xf>
    <xf numFmtId="165" fontId="61" fillId="43" borderId="26" xfId="2" applyNumberFormat="1" applyFont="1" applyFill="1" applyBorder="1"/>
    <xf numFmtId="3" fontId="61" fillId="43" borderId="26" xfId="2" applyNumberFormat="1" applyFont="1" applyFill="1" applyBorder="1" applyAlignment="1">
      <alignment horizontal="center"/>
    </xf>
    <xf numFmtId="165" fontId="66" fillId="43" borderId="26" xfId="2" applyNumberFormat="1" applyFont="1" applyFill="1" applyBorder="1"/>
    <xf numFmtId="0" fontId="64" fillId="43" borderId="26" xfId="2" applyFont="1" applyFill="1" applyBorder="1" applyAlignment="1">
      <alignment horizontal="center"/>
    </xf>
    <xf numFmtId="165" fontId="61" fillId="43" borderId="26" xfId="541" applyNumberFormat="1" applyFont="1" applyFill="1" applyBorder="1"/>
    <xf numFmtId="165" fontId="67" fillId="43" borderId="28" xfId="541" applyNumberFormat="1" applyFont="1" applyFill="1" applyBorder="1"/>
    <xf numFmtId="0" fontId="61" fillId="43" borderId="29" xfId="2" applyFont="1" applyFill="1" applyBorder="1"/>
    <xf numFmtId="0" fontId="61" fillId="43" borderId="28" xfId="2" applyFont="1" applyFill="1" applyBorder="1"/>
    <xf numFmtId="165" fontId="67" fillId="0" borderId="0" xfId="541" applyNumberFormat="1" applyFont="1"/>
    <xf numFmtId="0" fontId="61" fillId="44" borderId="31" xfId="2" applyFont="1" applyFill="1" applyBorder="1"/>
    <xf numFmtId="0" fontId="64" fillId="44" borderId="32" xfId="2" applyFont="1" applyFill="1" applyBorder="1"/>
    <xf numFmtId="0" fontId="61" fillId="44" borderId="32" xfId="2" applyFont="1" applyFill="1" applyBorder="1"/>
    <xf numFmtId="0" fontId="62" fillId="44" borderId="32" xfId="2" applyFont="1" applyFill="1" applyBorder="1" applyAlignment="1">
      <alignment horizontal="center"/>
    </xf>
    <xf numFmtId="0" fontId="61" fillId="44" borderId="33" xfId="2" applyFont="1" applyFill="1" applyBorder="1"/>
    <xf numFmtId="0" fontId="61" fillId="44" borderId="25" xfId="2" applyFont="1" applyFill="1" applyBorder="1"/>
    <xf numFmtId="0" fontId="61" fillId="44" borderId="26" xfId="2" applyFont="1" applyFill="1" applyBorder="1" applyAlignment="1">
      <alignment horizontal="right"/>
    </xf>
    <xf numFmtId="0" fontId="61" fillId="44" borderId="26" xfId="2" applyFont="1" applyFill="1" applyBorder="1"/>
    <xf numFmtId="3" fontId="61" fillId="44" borderId="26" xfId="2" applyNumberFormat="1" applyFont="1" applyFill="1" applyBorder="1"/>
    <xf numFmtId="0" fontId="61" fillId="44" borderId="27" xfId="2" applyFont="1" applyFill="1" applyBorder="1"/>
    <xf numFmtId="0" fontId="61" fillId="44" borderId="34" xfId="2" applyFont="1" applyFill="1" applyBorder="1"/>
    <xf numFmtId="0" fontId="61" fillId="44" borderId="34" xfId="541" applyNumberFormat="1" applyFont="1" applyFill="1" applyBorder="1"/>
    <xf numFmtId="8" fontId="61" fillId="44" borderId="26" xfId="2" applyNumberFormat="1" applyFont="1" applyFill="1" applyBorder="1"/>
    <xf numFmtId="0" fontId="61" fillId="44" borderId="26" xfId="2" quotePrefix="1" applyFont="1" applyFill="1" applyBorder="1"/>
    <xf numFmtId="0" fontId="61" fillId="44" borderId="26" xfId="541" applyNumberFormat="1" applyFont="1" applyFill="1" applyBorder="1"/>
    <xf numFmtId="6" fontId="61" fillId="44" borderId="26" xfId="2" applyNumberFormat="1" applyFont="1" applyFill="1" applyBorder="1"/>
    <xf numFmtId="165" fontId="63" fillId="44" borderId="26" xfId="541" applyNumberFormat="1" applyFont="1" applyFill="1" applyBorder="1" applyAlignment="1">
      <alignment horizontal="right"/>
    </xf>
    <xf numFmtId="0" fontId="61" fillId="44" borderId="29" xfId="2" applyFont="1" applyFill="1" applyBorder="1"/>
    <xf numFmtId="0" fontId="61" fillId="44" borderId="28" xfId="2" applyFont="1" applyFill="1" applyBorder="1"/>
    <xf numFmtId="165" fontId="63" fillId="44" borderId="28" xfId="541" applyNumberFormat="1" applyFont="1" applyFill="1" applyBorder="1"/>
    <xf numFmtId="0" fontId="61" fillId="44" borderId="30" xfId="2" applyFont="1" applyFill="1" applyBorder="1"/>
    <xf numFmtId="0" fontId="61" fillId="45" borderId="35" xfId="2" applyFont="1" applyFill="1" applyBorder="1"/>
    <xf numFmtId="0" fontId="64" fillId="45" borderId="36" xfId="2" applyFont="1" applyFill="1" applyBorder="1" applyAlignment="1">
      <alignment horizontal="right"/>
    </xf>
    <xf numFmtId="164" fontId="61" fillId="45" borderId="36" xfId="541" applyNumberFormat="1" applyFont="1" applyFill="1" applyBorder="1"/>
    <xf numFmtId="0" fontId="61" fillId="45" borderId="36" xfId="2" quotePrefix="1" applyFont="1" applyFill="1" applyBorder="1"/>
    <xf numFmtId="0" fontId="61" fillId="45" borderId="36" xfId="2" applyFont="1" applyFill="1" applyBorder="1"/>
    <xf numFmtId="0" fontId="61" fillId="45" borderId="37" xfId="2" applyFont="1" applyFill="1" applyBorder="1"/>
    <xf numFmtId="0" fontId="61" fillId="45" borderId="26" xfId="2" applyFont="1" applyFill="1" applyBorder="1" applyAlignment="1">
      <alignment horizontal="right"/>
    </xf>
    <xf numFmtId="0" fontId="61" fillId="45" borderId="26" xfId="2" applyFont="1" applyFill="1" applyBorder="1"/>
    <xf numFmtId="165" fontId="61" fillId="45" borderId="26" xfId="541" applyNumberFormat="1" applyFont="1" applyFill="1" applyBorder="1"/>
    <xf numFmtId="0" fontId="61" fillId="45" borderId="26" xfId="2" applyFont="1" applyFill="1" applyBorder="1" applyAlignment="1">
      <alignment horizontal="center"/>
    </xf>
    <xf numFmtId="165" fontId="63" fillId="45" borderId="26" xfId="541" applyNumberFormat="1" applyFont="1" applyFill="1" applyBorder="1"/>
    <xf numFmtId="0" fontId="61" fillId="45" borderId="38" xfId="2" applyFont="1" applyFill="1" applyBorder="1"/>
    <xf numFmtId="0" fontId="61" fillId="45" borderId="39" xfId="2" applyFont="1" applyFill="1" applyBorder="1" applyAlignment="1">
      <alignment horizontal="right"/>
    </xf>
    <xf numFmtId="0" fontId="61" fillId="45" borderId="39" xfId="2" applyFont="1" applyFill="1" applyBorder="1"/>
    <xf numFmtId="165" fontId="63" fillId="45" borderId="39" xfId="541" applyNumberFormat="1" applyFont="1" applyFill="1" applyBorder="1"/>
    <xf numFmtId="165" fontId="61" fillId="0" borderId="0" xfId="1" applyNumberFormat="1" applyFont="1"/>
    <xf numFmtId="3" fontId="61" fillId="0" borderId="0" xfId="2" applyNumberFormat="1" applyFont="1"/>
    <xf numFmtId="0" fontId="68" fillId="0" borderId="2" xfId="0" applyFont="1" applyBorder="1" applyAlignment="1">
      <alignment vertical="center" wrapText="1"/>
    </xf>
    <xf numFmtId="0" fontId="61" fillId="0" borderId="2" xfId="0" applyFont="1" applyBorder="1" applyAlignment="1">
      <alignment vertical="center" wrapText="1"/>
    </xf>
    <xf numFmtId="0" fontId="61" fillId="0" borderId="2" xfId="0" applyFont="1" applyBorder="1" applyAlignment="1">
      <alignment horizontal="right" vertical="center" wrapText="1"/>
    </xf>
    <xf numFmtId="3" fontId="61" fillId="0" borderId="2" xfId="0" applyNumberFormat="1" applyFont="1" applyBorder="1" applyAlignment="1">
      <alignment horizontal="right" vertical="center" wrapText="1"/>
    </xf>
    <xf numFmtId="165" fontId="61" fillId="0" borderId="2" xfId="1" applyNumberFormat="1" applyFont="1" applyBorder="1"/>
    <xf numFmtId="0" fontId="68" fillId="0" borderId="0" xfId="2" applyFont="1"/>
    <xf numFmtId="0" fontId="68" fillId="0" borderId="2" xfId="2" applyFont="1" applyBorder="1"/>
    <xf numFmtId="0" fontId="66" fillId="0" borderId="0" xfId="2" applyFont="1"/>
    <xf numFmtId="0" fontId="64" fillId="0" borderId="0" xfId="2" applyFont="1" applyBorder="1" applyAlignment="1">
      <alignment horizontal="center"/>
    </xf>
    <xf numFmtId="0" fontId="66" fillId="0" borderId="2" xfId="2" applyFont="1" applyBorder="1"/>
    <xf numFmtId="0" fontId="66" fillId="0" borderId="2" xfId="2" applyFont="1" applyBorder="1" applyAlignment="1">
      <alignment horizontal="center" vertical="center"/>
    </xf>
    <xf numFmtId="44" fontId="66" fillId="0" borderId="2" xfId="541" applyFont="1" applyBorder="1" applyAlignment="1">
      <alignment horizontal="center"/>
    </xf>
    <xf numFmtId="44" fontId="66" fillId="0" borderId="2" xfId="2" applyNumberFormat="1" applyFont="1" applyBorder="1"/>
    <xf numFmtId="44" fontId="66" fillId="0" borderId="2" xfId="541" applyFont="1" applyBorder="1"/>
    <xf numFmtId="165" fontId="66" fillId="0" borderId="2" xfId="541" applyNumberFormat="1" applyFont="1" applyBorder="1"/>
    <xf numFmtId="0" fontId="66" fillId="0" borderId="0" xfId="2" applyFont="1" applyBorder="1"/>
    <xf numFmtId="165" fontId="66" fillId="0" borderId="0" xfId="541" applyNumberFormat="1" applyFont="1" applyBorder="1"/>
    <xf numFmtId="44" fontId="66" fillId="0" borderId="0" xfId="2" applyNumberFormat="1" applyFont="1" applyBorder="1"/>
    <xf numFmtId="0" fontId="69" fillId="0" borderId="2" xfId="2" applyFont="1" applyBorder="1"/>
    <xf numFmtId="0" fontId="71" fillId="0" borderId="40" xfId="0" applyFont="1" applyFill="1" applyBorder="1" applyAlignment="1">
      <alignment vertical="center"/>
    </xf>
    <xf numFmtId="0" fontId="71" fillId="0" borderId="2" xfId="0" applyFont="1" applyBorder="1" applyAlignment="1">
      <alignment vertical="center" wrapText="1"/>
    </xf>
    <xf numFmtId="8" fontId="71" fillId="0" borderId="2" xfId="0" applyNumberFormat="1" applyFont="1" applyBorder="1" applyAlignment="1">
      <alignment vertical="center" wrapText="1"/>
    </xf>
    <xf numFmtId="0" fontId="70" fillId="0" borderId="2" xfId="0" applyFont="1" applyBorder="1" applyAlignment="1">
      <alignment vertical="center" wrapText="1"/>
    </xf>
    <xf numFmtId="0" fontId="26" fillId="0" borderId="2" xfId="0" applyFont="1" applyBorder="1"/>
    <xf numFmtId="44" fontId="26" fillId="0" borderId="2" xfId="1" applyFont="1" applyBorder="1"/>
    <xf numFmtId="4" fontId="60" fillId="0" borderId="0" xfId="0" applyNumberFormat="1" applyFont="1"/>
    <xf numFmtId="44" fontId="0" fillId="0" borderId="0" xfId="1" applyFont="1" applyFill="1" applyBorder="1"/>
    <xf numFmtId="44" fontId="0" fillId="47" borderId="2" xfId="1" applyFont="1" applyFill="1" applyBorder="1"/>
    <xf numFmtId="0" fontId="1" fillId="0" borderId="0" xfId="543"/>
    <xf numFmtId="0" fontId="51" fillId="0" borderId="0" xfId="543" applyFont="1"/>
    <xf numFmtId="0" fontId="72" fillId="0" borderId="0" xfId="543" applyFont="1"/>
    <xf numFmtId="0" fontId="73" fillId="0" borderId="0" xfId="543" applyFont="1"/>
    <xf numFmtId="0" fontId="73" fillId="0" borderId="0" xfId="543" applyFont="1" applyAlignment="1">
      <alignment horizontal="center"/>
    </xf>
    <xf numFmtId="169" fontId="72" fillId="0" borderId="0" xfId="544" applyNumberFormat="1" applyFont="1" applyFill="1" applyBorder="1"/>
    <xf numFmtId="3" fontId="72" fillId="0" borderId="0" xfId="543" applyNumberFormat="1" applyFont="1"/>
    <xf numFmtId="0" fontId="1" fillId="0" borderId="2" xfId="543" applyBorder="1"/>
    <xf numFmtId="3" fontId="1" fillId="0" borderId="0" xfId="543" applyNumberFormat="1"/>
    <xf numFmtId="169" fontId="0" fillId="0" borderId="0" xfId="544" applyNumberFormat="1" applyFont="1"/>
    <xf numFmtId="0" fontId="1" fillId="0" borderId="0" xfId="543" applyAlignment="1">
      <alignment horizontal="right"/>
    </xf>
    <xf numFmtId="0" fontId="30" fillId="0" borderId="0" xfId="543" applyFont="1" applyAlignment="1">
      <alignment horizontal="right"/>
    </xf>
    <xf numFmtId="169" fontId="0" fillId="48" borderId="14" xfId="544" applyNumberFormat="1" applyFont="1" applyFill="1" applyBorder="1"/>
    <xf numFmtId="169" fontId="0" fillId="48" borderId="41" xfId="544" applyNumberFormat="1" applyFont="1" applyFill="1" applyBorder="1"/>
    <xf numFmtId="169" fontId="0" fillId="48" borderId="1" xfId="544" applyNumberFormat="1" applyFont="1" applyFill="1" applyBorder="1"/>
    <xf numFmtId="0" fontId="30" fillId="0" borderId="0" xfId="543" applyFont="1" applyAlignment="1">
      <alignment horizontal="center"/>
    </xf>
    <xf numFmtId="0" fontId="1" fillId="0" borderId="0" xfId="543" applyAlignment="1">
      <alignment horizontal="center"/>
    </xf>
    <xf numFmtId="168" fontId="0" fillId="0" borderId="42" xfId="545" applyNumberFormat="1" applyFont="1" applyBorder="1"/>
    <xf numFmtId="168" fontId="0" fillId="0" borderId="43" xfId="545" applyNumberFormat="1" applyFont="1" applyBorder="1"/>
    <xf numFmtId="168" fontId="0" fillId="0" borderId="12" xfId="545" applyNumberFormat="1" applyFont="1" applyBorder="1"/>
    <xf numFmtId="168" fontId="0" fillId="0" borderId="17" xfId="545" applyNumberFormat="1" applyFont="1" applyBorder="1"/>
    <xf numFmtId="168" fontId="0" fillId="0" borderId="0" xfId="545" applyNumberFormat="1" applyFont="1" applyBorder="1"/>
    <xf numFmtId="168" fontId="0" fillId="0" borderId="13" xfId="545" applyNumberFormat="1" applyFont="1" applyBorder="1"/>
    <xf numFmtId="168" fontId="0" fillId="0" borderId="44" xfId="545" applyNumberFormat="1" applyFont="1" applyBorder="1"/>
    <xf numFmtId="168" fontId="0" fillId="0" borderId="16" xfId="545" applyNumberFormat="1" applyFont="1" applyBorder="1"/>
    <xf numFmtId="168" fontId="0" fillId="0" borderId="15" xfId="545" applyNumberFormat="1" applyFont="1" applyBorder="1"/>
    <xf numFmtId="168" fontId="30" fillId="0" borderId="0" xfId="543" applyNumberFormat="1" applyFont="1"/>
    <xf numFmtId="170" fontId="0" fillId="48" borderId="14" xfId="545" applyNumberFormat="1" applyFont="1" applyFill="1" applyBorder="1"/>
    <xf numFmtId="170" fontId="0" fillId="48" borderId="41" xfId="545" applyNumberFormat="1" applyFont="1" applyFill="1" applyBorder="1"/>
    <xf numFmtId="170" fontId="0" fillId="48" borderId="1" xfId="545" applyNumberFormat="1" applyFont="1" applyFill="1" applyBorder="1"/>
    <xf numFmtId="170" fontId="0" fillId="0" borderId="0" xfId="545" applyNumberFormat="1" applyFont="1" applyFill="1" applyBorder="1"/>
    <xf numFmtId="0" fontId="1" fillId="0" borderId="0" xfId="543" applyAlignment="1">
      <alignment horizontal="left"/>
    </xf>
    <xf numFmtId="0" fontId="1" fillId="0" borderId="0" xfId="543" applyAlignment="1">
      <alignment horizontal="center" vertical="center"/>
    </xf>
    <xf numFmtId="168" fontId="30" fillId="0" borderId="0" xfId="545" applyNumberFormat="1" applyFont="1" applyBorder="1"/>
    <xf numFmtId="0" fontId="31" fillId="0" borderId="0" xfId="543" applyFont="1" applyAlignment="1">
      <alignment horizontal="center" wrapText="1"/>
    </xf>
    <xf numFmtId="169" fontId="0" fillId="48" borderId="14" xfId="544" applyNumberFormat="1" applyFont="1" applyFill="1" applyBorder="1" applyAlignment="1">
      <alignment vertical="center"/>
    </xf>
    <xf numFmtId="169" fontId="0" fillId="48" borderId="41" xfId="544" applyNumberFormat="1" applyFont="1" applyFill="1" applyBorder="1" applyAlignment="1">
      <alignment vertical="center"/>
    </xf>
    <xf numFmtId="169" fontId="0" fillId="48" borderId="1" xfId="544" applyNumberFormat="1" applyFont="1" applyFill="1" applyBorder="1" applyAlignment="1">
      <alignment vertical="center"/>
    </xf>
    <xf numFmtId="0" fontId="1" fillId="0" borderId="0" xfId="543" applyFill="1" applyBorder="1"/>
    <xf numFmtId="169" fontId="0" fillId="0" borderId="0" xfId="544" applyNumberFormat="1" applyFont="1" applyFill="1" applyBorder="1"/>
    <xf numFmtId="169" fontId="30" fillId="0" borderId="0" xfId="544" applyNumberFormat="1" applyFont="1" applyFill="1" applyBorder="1"/>
    <xf numFmtId="43" fontId="30" fillId="0" borderId="0" xfId="543" applyNumberFormat="1" applyFont="1"/>
    <xf numFmtId="44" fontId="30" fillId="0" borderId="0" xfId="546" applyFont="1"/>
    <xf numFmtId="0" fontId="1" fillId="0" borderId="0" xfId="543" applyAlignment="1">
      <alignment horizontal="right" indent="1"/>
    </xf>
    <xf numFmtId="10" fontId="1" fillId="0" borderId="0" xfId="543" applyNumberFormat="1"/>
    <xf numFmtId="44" fontId="0" fillId="0" borderId="0" xfId="546" applyFont="1"/>
    <xf numFmtId="43" fontId="0" fillId="0" borderId="0" xfId="542" applyFont="1"/>
    <xf numFmtId="0" fontId="71" fillId="0" borderId="0" xfId="0" applyFont="1" applyFill="1" applyBorder="1" applyAlignment="1">
      <alignment vertical="center"/>
    </xf>
    <xf numFmtId="0" fontId="28" fillId="0" borderId="2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" fillId="0" borderId="0" xfId="543" applyAlignment="1">
      <alignment horizontal="center"/>
    </xf>
    <xf numFmtId="0" fontId="30" fillId="49" borderId="14" xfId="543" applyFont="1" applyFill="1" applyBorder="1" applyAlignment="1">
      <alignment horizontal="center"/>
    </xf>
    <xf numFmtId="0" fontId="30" fillId="49" borderId="41" xfId="543" applyFont="1" applyFill="1" applyBorder="1" applyAlignment="1">
      <alignment horizontal="center"/>
    </xf>
    <xf numFmtId="0" fontId="30" fillId="49" borderId="1" xfId="543" applyFont="1" applyFill="1" applyBorder="1" applyAlignment="1">
      <alignment horizontal="center"/>
    </xf>
    <xf numFmtId="0" fontId="30" fillId="45" borderId="0" xfId="543" applyFont="1" applyFill="1" applyAlignment="1">
      <alignment horizontal="center" vertical="center" wrapText="1"/>
    </xf>
    <xf numFmtId="0" fontId="1" fillId="50" borderId="0" xfId="543" applyFill="1" applyAlignment="1">
      <alignment horizontal="center" vertical="center" wrapText="1"/>
    </xf>
    <xf numFmtId="0" fontId="1" fillId="39" borderId="0" xfId="543" applyFill="1" applyAlignment="1">
      <alignment horizontal="center" vertical="center" wrapText="1"/>
    </xf>
    <xf numFmtId="0" fontId="64" fillId="0" borderId="22" xfId="2" applyFont="1" applyBorder="1" applyAlignment="1">
      <alignment horizontal="center"/>
    </xf>
    <xf numFmtId="0" fontId="64" fillId="0" borderId="16" xfId="2" applyFont="1" applyBorder="1" applyAlignment="1">
      <alignment horizontal="center"/>
    </xf>
    <xf numFmtId="166" fontId="61" fillId="0" borderId="0" xfId="2" applyNumberFormat="1" applyFont="1" applyBorder="1" applyAlignment="1">
      <alignment horizontal="center"/>
    </xf>
    <xf numFmtId="0" fontId="61" fillId="0" borderId="0" xfId="2" applyFont="1" applyAlignment="1"/>
    <xf numFmtId="0" fontId="5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1" fillId="0" borderId="0" xfId="0" applyFont="1" applyAlignment="1">
      <alignment horizontal="left"/>
    </xf>
  </cellXfs>
  <cellStyles count="547">
    <cellStyle name="20% - Accent1" xfId="309" builtinId="30" customBuiltin="1"/>
    <cellStyle name="20% - Accent1 2" xfId="25" xr:uid="{00000000-0005-0000-0000-000001000000}"/>
    <cellStyle name="20% - Accent1 2 10" xfId="528" xr:uid="{00000000-0005-0000-0000-000001000000}"/>
    <cellStyle name="20% - Accent1 2 2" xfId="98" xr:uid="{00000000-0005-0000-0000-000002000000}"/>
    <cellStyle name="20% - Accent1 2 2 2" xfId="163" xr:uid="{00000000-0005-0000-0000-000003000000}"/>
    <cellStyle name="20% - Accent1 2 2 2 2" xfId="268" xr:uid="{00000000-0005-0000-0000-000004000000}"/>
    <cellStyle name="20% - Accent1 2 2 2 3" xfId="477" xr:uid="{00000000-0005-0000-0000-000005000000}"/>
    <cellStyle name="20% - Accent1 2 2 3" xfId="131" xr:uid="{00000000-0005-0000-0000-000006000000}"/>
    <cellStyle name="20% - Accent1 2 2 3 2" xfId="236" xr:uid="{00000000-0005-0000-0000-000007000000}"/>
    <cellStyle name="20% - Accent1 2 2 3 3" xfId="445" xr:uid="{00000000-0005-0000-0000-000008000000}"/>
    <cellStyle name="20% - Accent1 2 2 4" xfId="204" xr:uid="{00000000-0005-0000-0000-000009000000}"/>
    <cellStyle name="20% - Accent1 2 2 5" xfId="413" xr:uid="{00000000-0005-0000-0000-00000A000000}"/>
    <cellStyle name="20% - Accent1 2 3" xfId="147" xr:uid="{00000000-0005-0000-0000-00000B000000}"/>
    <cellStyle name="20% - Accent1 2 3 2" xfId="252" xr:uid="{00000000-0005-0000-0000-00000C000000}"/>
    <cellStyle name="20% - Accent1 2 3 3" xfId="461" xr:uid="{00000000-0005-0000-0000-00000D000000}"/>
    <cellStyle name="20% - Accent1 2 4" xfId="115" xr:uid="{00000000-0005-0000-0000-00000E000000}"/>
    <cellStyle name="20% - Accent1 2 4 2" xfId="220" xr:uid="{00000000-0005-0000-0000-00000F000000}"/>
    <cellStyle name="20% - Accent1 2 4 3" xfId="429" xr:uid="{00000000-0005-0000-0000-000010000000}"/>
    <cellStyle name="20% - Accent1 2 5" xfId="78" xr:uid="{00000000-0005-0000-0000-000011000000}"/>
    <cellStyle name="20% - Accent1 2 6" xfId="188" xr:uid="{00000000-0005-0000-0000-000012000000}"/>
    <cellStyle name="20% - Accent1 2 7" xfId="347" xr:uid="{00000000-0005-0000-0000-000013000000}"/>
    <cellStyle name="20% - Accent1 2 8" xfId="384" xr:uid="{00000000-0005-0000-0000-000014000000}"/>
    <cellStyle name="20% - Accent1 2 9" xfId="397" xr:uid="{00000000-0005-0000-0000-000015000000}"/>
    <cellStyle name="20% - Accent1 3" xfId="368" xr:uid="{00000000-0005-0000-0000-000016000000}"/>
    <cellStyle name="20% - Accent1 4" xfId="512" xr:uid="{00000000-0005-0000-0000-0000FA010000}"/>
    <cellStyle name="20% - Accent2" xfId="313" builtinId="34" customBuiltin="1"/>
    <cellStyle name="20% - Accent2 2" xfId="26" xr:uid="{00000000-0005-0000-0000-000018000000}"/>
    <cellStyle name="20% - Accent2 2 10" xfId="530" xr:uid="{00000000-0005-0000-0000-000003000000}"/>
    <cellStyle name="20% - Accent2 2 2" xfId="99" xr:uid="{00000000-0005-0000-0000-000019000000}"/>
    <cellStyle name="20% - Accent2 2 2 2" xfId="164" xr:uid="{00000000-0005-0000-0000-00001A000000}"/>
    <cellStyle name="20% - Accent2 2 2 2 2" xfId="269" xr:uid="{00000000-0005-0000-0000-00001B000000}"/>
    <cellStyle name="20% - Accent2 2 2 2 3" xfId="478" xr:uid="{00000000-0005-0000-0000-00001C000000}"/>
    <cellStyle name="20% - Accent2 2 2 3" xfId="132" xr:uid="{00000000-0005-0000-0000-00001D000000}"/>
    <cellStyle name="20% - Accent2 2 2 3 2" xfId="237" xr:uid="{00000000-0005-0000-0000-00001E000000}"/>
    <cellStyle name="20% - Accent2 2 2 3 3" xfId="446" xr:uid="{00000000-0005-0000-0000-00001F000000}"/>
    <cellStyle name="20% - Accent2 2 2 4" xfId="205" xr:uid="{00000000-0005-0000-0000-000020000000}"/>
    <cellStyle name="20% - Accent2 2 2 5" xfId="414" xr:uid="{00000000-0005-0000-0000-000021000000}"/>
    <cellStyle name="20% - Accent2 2 3" xfId="148" xr:uid="{00000000-0005-0000-0000-000022000000}"/>
    <cellStyle name="20% - Accent2 2 3 2" xfId="253" xr:uid="{00000000-0005-0000-0000-000023000000}"/>
    <cellStyle name="20% - Accent2 2 3 3" xfId="462" xr:uid="{00000000-0005-0000-0000-000024000000}"/>
    <cellStyle name="20% - Accent2 2 4" xfId="116" xr:uid="{00000000-0005-0000-0000-000025000000}"/>
    <cellStyle name="20% - Accent2 2 4 2" xfId="221" xr:uid="{00000000-0005-0000-0000-000026000000}"/>
    <cellStyle name="20% - Accent2 2 4 3" xfId="430" xr:uid="{00000000-0005-0000-0000-000027000000}"/>
    <cellStyle name="20% - Accent2 2 5" xfId="79" xr:uid="{00000000-0005-0000-0000-000028000000}"/>
    <cellStyle name="20% - Accent2 2 6" xfId="189" xr:uid="{00000000-0005-0000-0000-000029000000}"/>
    <cellStyle name="20% - Accent2 2 7" xfId="349" xr:uid="{00000000-0005-0000-0000-00002A000000}"/>
    <cellStyle name="20% - Accent2 2 8" xfId="386" xr:uid="{00000000-0005-0000-0000-00002B000000}"/>
    <cellStyle name="20% - Accent2 2 9" xfId="398" xr:uid="{00000000-0005-0000-0000-00002C000000}"/>
    <cellStyle name="20% - Accent2 3" xfId="370" xr:uid="{00000000-0005-0000-0000-00002D000000}"/>
    <cellStyle name="20% - Accent2 4" xfId="514" xr:uid="{00000000-0005-0000-0000-0000FC010000}"/>
    <cellStyle name="20% - Accent3" xfId="317" builtinId="38" customBuiltin="1"/>
    <cellStyle name="20% - Accent3 2" xfId="27" xr:uid="{00000000-0005-0000-0000-00002F000000}"/>
    <cellStyle name="20% - Accent3 2 10" xfId="532" xr:uid="{00000000-0005-0000-0000-000005000000}"/>
    <cellStyle name="20% - Accent3 2 2" xfId="100" xr:uid="{00000000-0005-0000-0000-000030000000}"/>
    <cellStyle name="20% - Accent3 2 2 2" xfId="165" xr:uid="{00000000-0005-0000-0000-000031000000}"/>
    <cellStyle name="20% - Accent3 2 2 2 2" xfId="270" xr:uid="{00000000-0005-0000-0000-000032000000}"/>
    <cellStyle name="20% - Accent3 2 2 2 3" xfId="479" xr:uid="{00000000-0005-0000-0000-000033000000}"/>
    <cellStyle name="20% - Accent3 2 2 3" xfId="133" xr:uid="{00000000-0005-0000-0000-000034000000}"/>
    <cellStyle name="20% - Accent3 2 2 3 2" xfId="238" xr:uid="{00000000-0005-0000-0000-000035000000}"/>
    <cellStyle name="20% - Accent3 2 2 3 3" xfId="447" xr:uid="{00000000-0005-0000-0000-000036000000}"/>
    <cellStyle name="20% - Accent3 2 2 4" xfId="206" xr:uid="{00000000-0005-0000-0000-000037000000}"/>
    <cellStyle name="20% - Accent3 2 2 5" xfId="415" xr:uid="{00000000-0005-0000-0000-000038000000}"/>
    <cellStyle name="20% - Accent3 2 3" xfId="149" xr:uid="{00000000-0005-0000-0000-000039000000}"/>
    <cellStyle name="20% - Accent3 2 3 2" xfId="254" xr:uid="{00000000-0005-0000-0000-00003A000000}"/>
    <cellStyle name="20% - Accent3 2 3 3" xfId="463" xr:uid="{00000000-0005-0000-0000-00003B000000}"/>
    <cellStyle name="20% - Accent3 2 4" xfId="117" xr:uid="{00000000-0005-0000-0000-00003C000000}"/>
    <cellStyle name="20% - Accent3 2 4 2" xfId="222" xr:uid="{00000000-0005-0000-0000-00003D000000}"/>
    <cellStyle name="20% - Accent3 2 4 3" xfId="431" xr:uid="{00000000-0005-0000-0000-00003E000000}"/>
    <cellStyle name="20% - Accent3 2 5" xfId="80" xr:uid="{00000000-0005-0000-0000-00003F000000}"/>
    <cellStyle name="20% - Accent3 2 6" xfId="190" xr:uid="{00000000-0005-0000-0000-000040000000}"/>
    <cellStyle name="20% - Accent3 2 7" xfId="351" xr:uid="{00000000-0005-0000-0000-000041000000}"/>
    <cellStyle name="20% - Accent3 2 8" xfId="388" xr:uid="{00000000-0005-0000-0000-000042000000}"/>
    <cellStyle name="20% - Accent3 2 9" xfId="399" xr:uid="{00000000-0005-0000-0000-000043000000}"/>
    <cellStyle name="20% - Accent3 3" xfId="372" xr:uid="{00000000-0005-0000-0000-000044000000}"/>
    <cellStyle name="20% - Accent3 4" xfId="516" xr:uid="{00000000-0005-0000-0000-0000FE010000}"/>
    <cellStyle name="20% - Accent4" xfId="321" builtinId="42" customBuiltin="1"/>
    <cellStyle name="20% - Accent4 2" xfId="28" xr:uid="{00000000-0005-0000-0000-000046000000}"/>
    <cellStyle name="20% - Accent4 2 10" xfId="534" xr:uid="{00000000-0005-0000-0000-000007000000}"/>
    <cellStyle name="20% - Accent4 2 2" xfId="101" xr:uid="{00000000-0005-0000-0000-000047000000}"/>
    <cellStyle name="20% - Accent4 2 2 2" xfId="166" xr:uid="{00000000-0005-0000-0000-000048000000}"/>
    <cellStyle name="20% - Accent4 2 2 2 2" xfId="271" xr:uid="{00000000-0005-0000-0000-000049000000}"/>
    <cellStyle name="20% - Accent4 2 2 2 3" xfId="480" xr:uid="{00000000-0005-0000-0000-00004A000000}"/>
    <cellStyle name="20% - Accent4 2 2 3" xfId="134" xr:uid="{00000000-0005-0000-0000-00004B000000}"/>
    <cellStyle name="20% - Accent4 2 2 3 2" xfId="239" xr:uid="{00000000-0005-0000-0000-00004C000000}"/>
    <cellStyle name="20% - Accent4 2 2 3 3" xfId="448" xr:uid="{00000000-0005-0000-0000-00004D000000}"/>
    <cellStyle name="20% - Accent4 2 2 4" xfId="207" xr:uid="{00000000-0005-0000-0000-00004E000000}"/>
    <cellStyle name="20% - Accent4 2 2 5" xfId="416" xr:uid="{00000000-0005-0000-0000-00004F000000}"/>
    <cellStyle name="20% - Accent4 2 3" xfId="150" xr:uid="{00000000-0005-0000-0000-000050000000}"/>
    <cellStyle name="20% - Accent4 2 3 2" xfId="255" xr:uid="{00000000-0005-0000-0000-000051000000}"/>
    <cellStyle name="20% - Accent4 2 3 3" xfId="464" xr:uid="{00000000-0005-0000-0000-000052000000}"/>
    <cellStyle name="20% - Accent4 2 4" xfId="118" xr:uid="{00000000-0005-0000-0000-000053000000}"/>
    <cellStyle name="20% - Accent4 2 4 2" xfId="223" xr:uid="{00000000-0005-0000-0000-000054000000}"/>
    <cellStyle name="20% - Accent4 2 4 3" xfId="432" xr:uid="{00000000-0005-0000-0000-000055000000}"/>
    <cellStyle name="20% - Accent4 2 5" xfId="81" xr:uid="{00000000-0005-0000-0000-000056000000}"/>
    <cellStyle name="20% - Accent4 2 6" xfId="191" xr:uid="{00000000-0005-0000-0000-000057000000}"/>
    <cellStyle name="20% - Accent4 2 7" xfId="353" xr:uid="{00000000-0005-0000-0000-000058000000}"/>
    <cellStyle name="20% - Accent4 2 8" xfId="390" xr:uid="{00000000-0005-0000-0000-000059000000}"/>
    <cellStyle name="20% - Accent4 2 9" xfId="400" xr:uid="{00000000-0005-0000-0000-00005A000000}"/>
    <cellStyle name="20% - Accent4 3" xfId="374" xr:uid="{00000000-0005-0000-0000-00005B000000}"/>
    <cellStyle name="20% - Accent4 4" xfId="518" xr:uid="{00000000-0005-0000-0000-000000020000}"/>
    <cellStyle name="20% - Accent5" xfId="325" builtinId="46" customBuiltin="1"/>
    <cellStyle name="20% - Accent5 2" xfId="29" xr:uid="{00000000-0005-0000-0000-00005D000000}"/>
    <cellStyle name="20% - Accent5 2 10" xfId="536" xr:uid="{00000000-0005-0000-0000-000009000000}"/>
    <cellStyle name="20% - Accent5 2 2" xfId="102" xr:uid="{00000000-0005-0000-0000-00005E000000}"/>
    <cellStyle name="20% - Accent5 2 2 2" xfId="167" xr:uid="{00000000-0005-0000-0000-00005F000000}"/>
    <cellStyle name="20% - Accent5 2 2 2 2" xfId="272" xr:uid="{00000000-0005-0000-0000-000060000000}"/>
    <cellStyle name="20% - Accent5 2 2 2 3" xfId="481" xr:uid="{00000000-0005-0000-0000-000061000000}"/>
    <cellStyle name="20% - Accent5 2 2 3" xfId="135" xr:uid="{00000000-0005-0000-0000-000062000000}"/>
    <cellStyle name="20% - Accent5 2 2 3 2" xfId="240" xr:uid="{00000000-0005-0000-0000-000063000000}"/>
    <cellStyle name="20% - Accent5 2 2 3 3" xfId="449" xr:uid="{00000000-0005-0000-0000-000064000000}"/>
    <cellStyle name="20% - Accent5 2 2 4" xfId="208" xr:uid="{00000000-0005-0000-0000-000065000000}"/>
    <cellStyle name="20% - Accent5 2 2 5" xfId="417" xr:uid="{00000000-0005-0000-0000-000066000000}"/>
    <cellStyle name="20% - Accent5 2 3" xfId="151" xr:uid="{00000000-0005-0000-0000-000067000000}"/>
    <cellStyle name="20% - Accent5 2 3 2" xfId="256" xr:uid="{00000000-0005-0000-0000-000068000000}"/>
    <cellStyle name="20% - Accent5 2 3 3" xfId="465" xr:uid="{00000000-0005-0000-0000-000069000000}"/>
    <cellStyle name="20% - Accent5 2 4" xfId="119" xr:uid="{00000000-0005-0000-0000-00006A000000}"/>
    <cellStyle name="20% - Accent5 2 4 2" xfId="224" xr:uid="{00000000-0005-0000-0000-00006B000000}"/>
    <cellStyle name="20% - Accent5 2 4 3" xfId="433" xr:uid="{00000000-0005-0000-0000-00006C000000}"/>
    <cellStyle name="20% - Accent5 2 5" xfId="82" xr:uid="{00000000-0005-0000-0000-00006D000000}"/>
    <cellStyle name="20% - Accent5 2 6" xfId="192" xr:uid="{00000000-0005-0000-0000-00006E000000}"/>
    <cellStyle name="20% - Accent5 2 7" xfId="355" xr:uid="{00000000-0005-0000-0000-00006F000000}"/>
    <cellStyle name="20% - Accent5 2 8" xfId="392" xr:uid="{00000000-0005-0000-0000-000070000000}"/>
    <cellStyle name="20% - Accent5 2 9" xfId="401" xr:uid="{00000000-0005-0000-0000-000071000000}"/>
    <cellStyle name="20% - Accent5 3" xfId="376" xr:uid="{00000000-0005-0000-0000-000072000000}"/>
    <cellStyle name="20% - Accent5 4" xfId="520" xr:uid="{00000000-0005-0000-0000-000002020000}"/>
    <cellStyle name="20% - Accent6" xfId="329" builtinId="50" customBuiltin="1"/>
    <cellStyle name="20% - Accent6 2" xfId="30" xr:uid="{00000000-0005-0000-0000-000074000000}"/>
    <cellStyle name="20% - Accent6 2 10" xfId="538" xr:uid="{00000000-0005-0000-0000-00000B000000}"/>
    <cellStyle name="20% - Accent6 2 2" xfId="103" xr:uid="{00000000-0005-0000-0000-000075000000}"/>
    <cellStyle name="20% - Accent6 2 2 2" xfId="168" xr:uid="{00000000-0005-0000-0000-000076000000}"/>
    <cellStyle name="20% - Accent6 2 2 2 2" xfId="273" xr:uid="{00000000-0005-0000-0000-000077000000}"/>
    <cellStyle name="20% - Accent6 2 2 2 3" xfId="482" xr:uid="{00000000-0005-0000-0000-000078000000}"/>
    <cellStyle name="20% - Accent6 2 2 3" xfId="136" xr:uid="{00000000-0005-0000-0000-000079000000}"/>
    <cellStyle name="20% - Accent6 2 2 3 2" xfId="241" xr:uid="{00000000-0005-0000-0000-00007A000000}"/>
    <cellStyle name="20% - Accent6 2 2 3 3" xfId="450" xr:uid="{00000000-0005-0000-0000-00007B000000}"/>
    <cellStyle name="20% - Accent6 2 2 4" xfId="209" xr:uid="{00000000-0005-0000-0000-00007C000000}"/>
    <cellStyle name="20% - Accent6 2 2 5" xfId="418" xr:uid="{00000000-0005-0000-0000-00007D000000}"/>
    <cellStyle name="20% - Accent6 2 3" xfId="152" xr:uid="{00000000-0005-0000-0000-00007E000000}"/>
    <cellStyle name="20% - Accent6 2 3 2" xfId="257" xr:uid="{00000000-0005-0000-0000-00007F000000}"/>
    <cellStyle name="20% - Accent6 2 3 3" xfId="466" xr:uid="{00000000-0005-0000-0000-000080000000}"/>
    <cellStyle name="20% - Accent6 2 4" xfId="120" xr:uid="{00000000-0005-0000-0000-000081000000}"/>
    <cellStyle name="20% - Accent6 2 4 2" xfId="225" xr:uid="{00000000-0005-0000-0000-000082000000}"/>
    <cellStyle name="20% - Accent6 2 4 3" xfId="434" xr:uid="{00000000-0005-0000-0000-000083000000}"/>
    <cellStyle name="20% - Accent6 2 5" xfId="83" xr:uid="{00000000-0005-0000-0000-000084000000}"/>
    <cellStyle name="20% - Accent6 2 6" xfId="193" xr:uid="{00000000-0005-0000-0000-000085000000}"/>
    <cellStyle name="20% - Accent6 2 7" xfId="357" xr:uid="{00000000-0005-0000-0000-000086000000}"/>
    <cellStyle name="20% - Accent6 2 8" xfId="394" xr:uid="{00000000-0005-0000-0000-000087000000}"/>
    <cellStyle name="20% - Accent6 2 9" xfId="402" xr:uid="{00000000-0005-0000-0000-000088000000}"/>
    <cellStyle name="20% - Accent6 3" xfId="378" xr:uid="{00000000-0005-0000-0000-000089000000}"/>
    <cellStyle name="20% - Accent6 4" xfId="522" xr:uid="{00000000-0005-0000-0000-000004020000}"/>
    <cellStyle name="40% - Accent1" xfId="310" builtinId="31" customBuiltin="1"/>
    <cellStyle name="40% - Accent1 2" xfId="31" xr:uid="{00000000-0005-0000-0000-00008B000000}"/>
    <cellStyle name="40% - Accent1 2 10" xfId="529" xr:uid="{00000000-0005-0000-0000-00000D000000}"/>
    <cellStyle name="40% - Accent1 2 2" xfId="104" xr:uid="{00000000-0005-0000-0000-00008C000000}"/>
    <cellStyle name="40% - Accent1 2 2 2" xfId="169" xr:uid="{00000000-0005-0000-0000-00008D000000}"/>
    <cellStyle name="40% - Accent1 2 2 2 2" xfId="274" xr:uid="{00000000-0005-0000-0000-00008E000000}"/>
    <cellStyle name="40% - Accent1 2 2 2 3" xfId="483" xr:uid="{00000000-0005-0000-0000-00008F000000}"/>
    <cellStyle name="40% - Accent1 2 2 3" xfId="137" xr:uid="{00000000-0005-0000-0000-000090000000}"/>
    <cellStyle name="40% - Accent1 2 2 3 2" xfId="242" xr:uid="{00000000-0005-0000-0000-000091000000}"/>
    <cellStyle name="40% - Accent1 2 2 3 3" xfId="451" xr:uid="{00000000-0005-0000-0000-000092000000}"/>
    <cellStyle name="40% - Accent1 2 2 4" xfId="210" xr:uid="{00000000-0005-0000-0000-000093000000}"/>
    <cellStyle name="40% - Accent1 2 2 5" xfId="419" xr:uid="{00000000-0005-0000-0000-000094000000}"/>
    <cellStyle name="40% - Accent1 2 3" xfId="153" xr:uid="{00000000-0005-0000-0000-000095000000}"/>
    <cellStyle name="40% - Accent1 2 3 2" xfId="258" xr:uid="{00000000-0005-0000-0000-000096000000}"/>
    <cellStyle name="40% - Accent1 2 3 3" xfId="467" xr:uid="{00000000-0005-0000-0000-000097000000}"/>
    <cellStyle name="40% - Accent1 2 4" xfId="121" xr:uid="{00000000-0005-0000-0000-000098000000}"/>
    <cellStyle name="40% - Accent1 2 4 2" xfId="226" xr:uid="{00000000-0005-0000-0000-000099000000}"/>
    <cellStyle name="40% - Accent1 2 4 3" xfId="435" xr:uid="{00000000-0005-0000-0000-00009A000000}"/>
    <cellStyle name="40% - Accent1 2 5" xfId="84" xr:uid="{00000000-0005-0000-0000-00009B000000}"/>
    <cellStyle name="40% - Accent1 2 6" xfId="194" xr:uid="{00000000-0005-0000-0000-00009C000000}"/>
    <cellStyle name="40% - Accent1 2 7" xfId="348" xr:uid="{00000000-0005-0000-0000-00009D000000}"/>
    <cellStyle name="40% - Accent1 2 8" xfId="385" xr:uid="{00000000-0005-0000-0000-00009E000000}"/>
    <cellStyle name="40% - Accent1 2 9" xfId="403" xr:uid="{00000000-0005-0000-0000-00009F000000}"/>
    <cellStyle name="40% - Accent1 3" xfId="369" xr:uid="{00000000-0005-0000-0000-0000A0000000}"/>
    <cellStyle name="40% - Accent1 4" xfId="513" xr:uid="{00000000-0005-0000-0000-000006020000}"/>
    <cellStyle name="40% - Accent2" xfId="314" builtinId="35" customBuiltin="1"/>
    <cellStyle name="40% - Accent2 2" xfId="32" xr:uid="{00000000-0005-0000-0000-0000A2000000}"/>
    <cellStyle name="40% - Accent2 2 10" xfId="531" xr:uid="{00000000-0005-0000-0000-00000F000000}"/>
    <cellStyle name="40% - Accent2 2 2" xfId="105" xr:uid="{00000000-0005-0000-0000-0000A3000000}"/>
    <cellStyle name="40% - Accent2 2 2 2" xfId="170" xr:uid="{00000000-0005-0000-0000-0000A4000000}"/>
    <cellStyle name="40% - Accent2 2 2 2 2" xfId="275" xr:uid="{00000000-0005-0000-0000-0000A5000000}"/>
    <cellStyle name="40% - Accent2 2 2 2 3" xfId="484" xr:uid="{00000000-0005-0000-0000-0000A6000000}"/>
    <cellStyle name="40% - Accent2 2 2 3" xfId="138" xr:uid="{00000000-0005-0000-0000-0000A7000000}"/>
    <cellStyle name="40% - Accent2 2 2 3 2" xfId="243" xr:uid="{00000000-0005-0000-0000-0000A8000000}"/>
    <cellStyle name="40% - Accent2 2 2 3 3" xfId="452" xr:uid="{00000000-0005-0000-0000-0000A9000000}"/>
    <cellStyle name="40% - Accent2 2 2 4" xfId="211" xr:uid="{00000000-0005-0000-0000-0000AA000000}"/>
    <cellStyle name="40% - Accent2 2 2 5" xfId="420" xr:uid="{00000000-0005-0000-0000-0000AB000000}"/>
    <cellStyle name="40% - Accent2 2 3" xfId="154" xr:uid="{00000000-0005-0000-0000-0000AC000000}"/>
    <cellStyle name="40% - Accent2 2 3 2" xfId="259" xr:uid="{00000000-0005-0000-0000-0000AD000000}"/>
    <cellStyle name="40% - Accent2 2 3 3" xfId="468" xr:uid="{00000000-0005-0000-0000-0000AE000000}"/>
    <cellStyle name="40% - Accent2 2 4" xfId="122" xr:uid="{00000000-0005-0000-0000-0000AF000000}"/>
    <cellStyle name="40% - Accent2 2 4 2" xfId="227" xr:uid="{00000000-0005-0000-0000-0000B0000000}"/>
    <cellStyle name="40% - Accent2 2 4 3" xfId="436" xr:uid="{00000000-0005-0000-0000-0000B1000000}"/>
    <cellStyle name="40% - Accent2 2 5" xfId="85" xr:uid="{00000000-0005-0000-0000-0000B2000000}"/>
    <cellStyle name="40% - Accent2 2 6" xfId="195" xr:uid="{00000000-0005-0000-0000-0000B3000000}"/>
    <cellStyle name="40% - Accent2 2 7" xfId="350" xr:uid="{00000000-0005-0000-0000-0000B4000000}"/>
    <cellStyle name="40% - Accent2 2 8" xfId="387" xr:uid="{00000000-0005-0000-0000-0000B5000000}"/>
    <cellStyle name="40% - Accent2 2 9" xfId="404" xr:uid="{00000000-0005-0000-0000-0000B6000000}"/>
    <cellStyle name="40% - Accent2 3" xfId="371" xr:uid="{00000000-0005-0000-0000-0000B7000000}"/>
    <cellStyle name="40% - Accent2 4" xfId="515" xr:uid="{00000000-0005-0000-0000-000008020000}"/>
    <cellStyle name="40% - Accent3" xfId="318" builtinId="39" customBuiltin="1"/>
    <cellStyle name="40% - Accent3 2" xfId="33" xr:uid="{00000000-0005-0000-0000-0000B9000000}"/>
    <cellStyle name="40% - Accent3 2 10" xfId="533" xr:uid="{00000000-0005-0000-0000-000011000000}"/>
    <cellStyle name="40% - Accent3 2 2" xfId="106" xr:uid="{00000000-0005-0000-0000-0000BA000000}"/>
    <cellStyle name="40% - Accent3 2 2 2" xfId="171" xr:uid="{00000000-0005-0000-0000-0000BB000000}"/>
    <cellStyle name="40% - Accent3 2 2 2 2" xfId="276" xr:uid="{00000000-0005-0000-0000-0000BC000000}"/>
    <cellStyle name="40% - Accent3 2 2 2 3" xfId="485" xr:uid="{00000000-0005-0000-0000-0000BD000000}"/>
    <cellStyle name="40% - Accent3 2 2 3" xfId="139" xr:uid="{00000000-0005-0000-0000-0000BE000000}"/>
    <cellStyle name="40% - Accent3 2 2 3 2" xfId="244" xr:uid="{00000000-0005-0000-0000-0000BF000000}"/>
    <cellStyle name="40% - Accent3 2 2 3 3" xfId="453" xr:uid="{00000000-0005-0000-0000-0000C0000000}"/>
    <cellStyle name="40% - Accent3 2 2 4" xfId="212" xr:uid="{00000000-0005-0000-0000-0000C1000000}"/>
    <cellStyle name="40% - Accent3 2 2 5" xfId="421" xr:uid="{00000000-0005-0000-0000-0000C2000000}"/>
    <cellStyle name="40% - Accent3 2 3" xfId="155" xr:uid="{00000000-0005-0000-0000-0000C3000000}"/>
    <cellStyle name="40% - Accent3 2 3 2" xfId="260" xr:uid="{00000000-0005-0000-0000-0000C4000000}"/>
    <cellStyle name="40% - Accent3 2 3 3" xfId="469" xr:uid="{00000000-0005-0000-0000-0000C5000000}"/>
    <cellStyle name="40% - Accent3 2 4" xfId="123" xr:uid="{00000000-0005-0000-0000-0000C6000000}"/>
    <cellStyle name="40% - Accent3 2 4 2" xfId="228" xr:uid="{00000000-0005-0000-0000-0000C7000000}"/>
    <cellStyle name="40% - Accent3 2 4 3" xfId="437" xr:uid="{00000000-0005-0000-0000-0000C8000000}"/>
    <cellStyle name="40% - Accent3 2 5" xfId="86" xr:uid="{00000000-0005-0000-0000-0000C9000000}"/>
    <cellStyle name="40% - Accent3 2 6" xfId="196" xr:uid="{00000000-0005-0000-0000-0000CA000000}"/>
    <cellStyle name="40% - Accent3 2 7" xfId="352" xr:uid="{00000000-0005-0000-0000-0000CB000000}"/>
    <cellStyle name="40% - Accent3 2 8" xfId="389" xr:uid="{00000000-0005-0000-0000-0000CC000000}"/>
    <cellStyle name="40% - Accent3 2 9" xfId="405" xr:uid="{00000000-0005-0000-0000-0000CD000000}"/>
    <cellStyle name="40% - Accent3 3" xfId="373" xr:uid="{00000000-0005-0000-0000-0000CE000000}"/>
    <cellStyle name="40% - Accent3 4" xfId="517" xr:uid="{00000000-0005-0000-0000-00000A020000}"/>
    <cellStyle name="40% - Accent4" xfId="322" builtinId="43" customBuiltin="1"/>
    <cellStyle name="40% - Accent4 2" xfId="34" xr:uid="{00000000-0005-0000-0000-0000D0000000}"/>
    <cellStyle name="40% - Accent4 2 10" xfId="535" xr:uid="{00000000-0005-0000-0000-000013000000}"/>
    <cellStyle name="40% - Accent4 2 2" xfId="107" xr:uid="{00000000-0005-0000-0000-0000D1000000}"/>
    <cellStyle name="40% - Accent4 2 2 2" xfId="172" xr:uid="{00000000-0005-0000-0000-0000D2000000}"/>
    <cellStyle name="40% - Accent4 2 2 2 2" xfId="277" xr:uid="{00000000-0005-0000-0000-0000D3000000}"/>
    <cellStyle name="40% - Accent4 2 2 2 3" xfId="486" xr:uid="{00000000-0005-0000-0000-0000D4000000}"/>
    <cellStyle name="40% - Accent4 2 2 3" xfId="140" xr:uid="{00000000-0005-0000-0000-0000D5000000}"/>
    <cellStyle name="40% - Accent4 2 2 3 2" xfId="245" xr:uid="{00000000-0005-0000-0000-0000D6000000}"/>
    <cellStyle name="40% - Accent4 2 2 3 3" xfId="454" xr:uid="{00000000-0005-0000-0000-0000D7000000}"/>
    <cellStyle name="40% - Accent4 2 2 4" xfId="213" xr:uid="{00000000-0005-0000-0000-0000D8000000}"/>
    <cellStyle name="40% - Accent4 2 2 5" xfId="422" xr:uid="{00000000-0005-0000-0000-0000D9000000}"/>
    <cellStyle name="40% - Accent4 2 3" xfId="156" xr:uid="{00000000-0005-0000-0000-0000DA000000}"/>
    <cellStyle name="40% - Accent4 2 3 2" xfId="261" xr:uid="{00000000-0005-0000-0000-0000DB000000}"/>
    <cellStyle name="40% - Accent4 2 3 3" xfId="470" xr:uid="{00000000-0005-0000-0000-0000DC000000}"/>
    <cellStyle name="40% - Accent4 2 4" xfId="124" xr:uid="{00000000-0005-0000-0000-0000DD000000}"/>
    <cellStyle name="40% - Accent4 2 4 2" xfId="229" xr:uid="{00000000-0005-0000-0000-0000DE000000}"/>
    <cellStyle name="40% - Accent4 2 4 3" xfId="438" xr:uid="{00000000-0005-0000-0000-0000DF000000}"/>
    <cellStyle name="40% - Accent4 2 5" xfId="87" xr:uid="{00000000-0005-0000-0000-0000E0000000}"/>
    <cellStyle name="40% - Accent4 2 6" xfId="197" xr:uid="{00000000-0005-0000-0000-0000E1000000}"/>
    <cellStyle name="40% - Accent4 2 7" xfId="354" xr:uid="{00000000-0005-0000-0000-0000E2000000}"/>
    <cellStyle name="40% - Accent4 2 8" xfId="391" xr:uid="{00000000-0005-0000-0000-0000E3000000}"/>
    <cellStyle name="40% - Accent4 2 9" xfId="406" xr:uid="{00000000-0005-0000-0000-0000E4000000}"/>
    <cellStyle name="40% - Accent4 3" xfId="375" xr:uid="{00000000-0005-0000-0000-0000E5000000}"/>
    <cellStyle name="40% - Accent4 4" xfId="519" xr:uid="{00000000-0005-0000-0000-00000C020000}"/>
    <cellStyle name="40% - Accent5" xfId="326" builtinId="47" customBuiltin="1"/>
    <cellStyle name="40% - Accent5 2" xfId="35" xr:uid="{00000000-0005-0000-0000-0000E7000000}"/>
    <cellStyle name="40% - Accent5 2 10" xfId="537" xr:uid="{00000000-0005-0000-0000-000015000000}"/>
    <cellStyle name="40% - Accent5 2 2" xfId="108" xr:uid="{00000000-0005-0000-0000-0000E8000000}"/>
    <cellStyle name="40% - Accent5 2 2 2" xfId="173" xr:uid="{00000000-0005-0000-0000-0000E9000000}"/>
    <cellStyle name="40% - Accent5 2 2 2 2" xfId="278" xr:uid="{00000000-0005-0000-0000-0000EA000000}"/>
    <cellStyle name="40% - Accent5 2 2 2 3" xfId="487" xr:uid="{00000000-0005-0000-0000-0000EB000000}"/>
    <cellStyle name="40% - Accent5 2 2 3" xfId="141" xr:uid="{00000000-0005-0000-0000-0000EC000000}"/>
    <cellStyle name="40% - Accent5 2 2 3 2" xfId="246" xr:uid="{00000000-0005-0000-0000-0000ED000000}"/>
    <cellStyle name="40% - Accent5 2 2 3 3" xfId="455" xr:uid="{00000000-0005-0000-0000-0000EE000000}"/>
    <cellStyle name="40% - Accent5 2 2 4" xfId="214" xr:uid="{00000000-0005-0000-0000-0000EF000000}"/>
    <cellStyle name="40% - Accent5 2 2 5" xfId="423" xr:uid="{00000000-0005-0000-0000-0000F0000000}"/>
    <cellStyle name="40% - Accent5 2 3" xfId="157" xr:uid="{00000000-0005-0000-0000-0000F1000000}"/>
    <cellStyle name="40% - Accent5 2 3 2" xfId="262" xr:uid="{00000000-0005-0000-0000-0000F2000000}"/>
    <cellStyle name="40% - Accent5 2 3 3" xfId="471" xr:uid="{00000000-0005-0000-0000-0000F3000000}"/>
    <cellStyle name="40% - Accent5 2 4" xfId="125" xr:uid="{00000000-0005-0000-0000-0000F4000000}"/>
    <cellStyle name="40% - Accent5 2 4 2" xfId="230" xr:uid="{00000000-0005-0000-0000-0000F5000000}"/>
    <cellStyle name="40% - Accent5 2 4 3" xfId="439" xr:uid="{00000000-0005-0000-0000-0000F6000000}"/>
    <cellStyle name="40% - Accent5 2 5" xfId="88" xr:uid="{00000000-0005-0000-0000-0000F7000000}"/>
    <cellStyle name="40% - Accent5 2 6" xfId="198" xr:uid="{00000000-0005-0000-0000-0000F8000000}"/>
    <cellStyle name="40% - Accent5 2 7" xfId="356" xr:uid="{00000000-0005-0000-0000-0000F9000000}"/>
    <cellStyle name="40% - Accent5 2 8" xfId="393" xr:uid="{00000000-0005-0000-0000-0000FA000000}"/>
    <cellStyle name="40% - Accent5 2 9" xfId="407" xr:uid="{00000000-0005-0000-0000-0000FB000000}"/>
    <cellStyle name="40% - Accent5 3" xfId="377" xr:uid="{00000000-0005-0000-0000-0000FC000000}"/>
    <cellStyle name="40% - Accent5 4" xfId="521" xr:uid="{00000000-0005-0000-0000-00000E020000}"/>
    <cellStyle name="40% - Accent6" xfId="330" builtinId="51" customBuiltin="1"/>
    <cellStyle name="40% - Accent6 2" xfId="36" xr:uid="{00000000-0005-0000-0000-0000FE000000}"/>
    <cellStyle name="40% - Accent6 2 10" xfId="539" xr:uid="{00000000-0005-0000-0000-000017000000}"/>
    <cellStyle name="40% - Accent6 2 2" xfId="109" xr:uid="{00000000-0005-0000-0000-0000FF000000}"/>
    <cellStyle name="40% - Accent6 2 2 2" xfId="174" xr:uid="{00000000-0005-0000-0000-000000010000}"/>
    <cellStyle name="40% - Accent6 2 2 2 2" xfId="279" xr:uid="{00000000-0005-0000-0000-000001010000}"/>
    <cellStyle name="40% - Accent6 2 2 2 3" xfId="488" xr:uid="{00000000-0005-0000-0000-000002010000}"/>
    <cellStyle name="40% - Accent6 2 2 3" xfId="142" xr:uid="{00000000-0005-0000-0000-000003010000}"/>
    <cellStyle name="40% - Accent6 2 2 3 2" xfId="247" xr:uid="{00000000-0005-0000-0000-000004010000}"/>
    <cellStyle name="40% - Accent6 2 2 3 3" xfId="456" xr:uid="{00000000-0005-0000-0000-000005010000}"/>
    <cellStyle name="40% - Accent6 2 2 4" xfId="215" xr:uid="{00000000-0005-0000-0000-000006010000}"/>
    <cellStyle name="40% - Accent6 2 2 5" xfId="424" xr:uid="{00000000-0005-0000-0000-000007010000}"/>
    <cellStyle name="40% - Accent6 2 3" xfId="158" xr:uid="{00000000-0005-0000-0000-000008010000}"/>
    <cellStyle name="40% - Accent6 2 3 2" xfId="263" xr:uid="{00000000-0005-0000-0000-000009010000}"/>
    <cellStyle name="40% - Accent6 2 3 3" xfId="472" xr:uid="{00000000-0005-0000-0000-00000A010000}"/>
    <cellStyle name="40% - Accent6 2 4" xfId="126" xr:uid="{00000000-0005-0000-0000-00000B010000}"/>
    <cellStyle name="40% - Accent6 2 4 2" xfId="231" xr:uid="{00000000-0005-0000-0000-00000C010000}"/>
    <cellStyle name="40% - Accent6 2 4 3" xfId="440" xr:uid="{00000000-0005-0000-0000-00000D010000}"/>
    <cellStyle name="40% - Accent6 2 5" xfId="89" xr:uid="{00000000-0005-0000-0000-00000E010000}"/>
    <cellStyle name="40% - Accent6 2 6" xfId="199" xr:uid="{00000000-0005-0000-0000-00000F010000}"/>
    <cellStyle name="40% - Accent6 2 7" xfId="358" xr:uid="{00000000-0005-0000-0000-000010010000}"/>
    <cellStyle name="40% - Accent6 2 8" xfId="395" xr:uid="{00000000-0005-0000-0000-000011010000}"/>
    <cellStyle name="40% - Accent6 2 9" xfId="408" xr:uid="{00000000-0005-0000-0000-000012010000}"/>
    <cellStyle name="40% - Accent6 3" xfId="379" xr:uid="{00000000-0005-0000-0000-000013010000}"/>
    <cellStyle name="40% - Accent6 4" xfId="523" xr:uid="{00000000-0005-0000-0000-000010020000}"/>
    <cellStyle name="60% - Accent1" xfId="311" builtinId="32" customBuiltin="1"/>
    <cellStyle name="60% - Accent1 2" xfId="37" xr:uid="{00000000-0005-0000-0000-000015010000}"/>
    <cellStyle name="60% - Accent2" xfId="315" builtinId="36" customBuiltin="1"/>
    <cellStyle name="60% - Accent2 2" xfId="38" xr:uid="{00000000-0005-0000-0000-000017010000}"/>
    <cellStyle name="60% - Accent3" xfId="319" builtinId="40" customBuiltin="1"/>
    <cellStyle name="60% - Accent3 2" xfId="39" xr:uid="{00000000-0005-0000-0000-000019010000}"/>
    <cellStyle name="60% - Accent4" xfId="323" builtinId="44" customBuiltin="1"/>
    <cellStyle name="60% - Accent4 2" xfId="40" xr:uid="{00000000-0005-0000-0000-00001B010000}"/>
    <cellStyle name="60% - Accent5" xfId="327" builtinId="48" customBuiltin="1"/>
    <cellStyle name="60% - Accent5 2" xfId="41" xr:uid="{00000000-0005-0000-0000-00001D010000}"/>
    <cellStyle name="60% - Accent6" xfId="331" builtinId="52" customBuiltin="1"/>
    <cellStyle name="60% - Accent6 2" xfId="42" xr:uid="{00000000-0005-0000-0000-00001F010000}"/>
    <cellStyle name="Accent1" xfId="308" builtinId="29" customBuiltin="1"/>
    <cellStyle name="Accent1 2" xfId="43" xr:uid="{00000000-0005-0000-0000-000021010000}"/>
    <cellStyle name="Accent2" xfId="312" builtinId="33" customBuiltin="1"/>
    <cellStyle name="Accent2 2" xfId="44" xr:uid="{00000000-0005-0000-0000-000023010000}"/>
    <cellStyle name="Accent3" xfId="316" builtinId="37" customBuiltin="1"/>
    <cellStyle name="Accent3 2" xfId="45" xr:uid="{00000000-0005-0000-0000-000025010000}"/>
    <cellStyle name="Accent4" xfId="320" builtinId="41" customBuiltin="1"/>
    <cellStyle name="Accent4 2" xfId="46" xr:uid="{00000000-0005-0000-0000-000027010000}"/>
    <cellStyle name="Accent5" xfId="324" builtinId="45" customBuiltin="1"/>
    <cellStyle name="Accent5 2" xfId="47" xr:uid="{00000000-0005-0000-0000-000029010000}"/>
    <cellStyle name="Accent6" xfId="328" builtinId="49" customBuiltin="1"/>
    <cellStyle name="Accent6 2" xfId="48" xr:uid="{00000000-0005-0000-0000-00002B010000}"/>
    <cellStyle name="Bad" xfId="298" builtinId="27" customBuiltin="1"/>
    <cellStyle name="Bad 2" xfId="49" xr:uid="{00000000-0005-0000-0000-00002D010000}"/>
    <cellStyle name="Calculation" xfId="302" builtinId="22" customBuiltin="1"/>
    <cellStyle name="Calculation 2" xfId="50" xr:uid="{00000000-0005-0000-0000-00002F010000}"/>
    <cellStyle name="Check Cell" xfId="304" builtinId="23" customBuiltin="1"/>
    <cellStyle name="Check Cell 2" xfId="51" xr:uid="{00000000-0005-0000-0000-000031010000}"/>
    <cellStyle name="Comma" xfId="542" builtinId="3"/>
    <cellStyle name="Comma 2" xfId="52" xr:uid="{00000000-0005-0000-0000-000032010000}"/>
    <cellStyle name="Comma 3" xfId="545" xr:uid="{65EDC181-BB1F-4CB3-8CA5-44FF02578CA0}"/>
    <cellStyle name="Comma0" xfId="53" xr:uid="{00000000-0005-0000-0000-000033010000}"/>
    <cellStyle name="Comma0 2" xfId="54" xr:uid="{00000000-0005-0000-0000-000034010000}"/>
    <cellStyle name="Currency" xfId="1" builtinId="4"/>
    <cellStyle name="Currency 2" xfId="4" xr:uid="{00000000-0005-0000-0000-000036010000}"/>
    <cellStyle name="Currency 2 2" xfId="10" xr:uid="{00000000-0005-0000-0000-000037010000}"/>
    <cellStyle name="Currency 2 2 2" xfId="91" xr:uid="{00000000-0005-0000-0000-000038010000}"/>
    <cellStyle name="Currency 2 2 3" xfId="337" xr:uid="{00000000-0005-0000-0000-000039010000}"/>
    <cellStyle name="Currency 2 2 4" xfId="362" xr:uid="{00000000-0005-0000-0000-00003A010000}"/>
    <cellStyle name="Currency 2 2 5" xfId="506" xr:uid="{00000000-0005-0000-0000-000028000000}"/>
    <cellStyle name="Currency 2 3" xfId="11" xr:uid="{00000000-0005-0000-0000-00003B010000}"/>
    <cellStyle name="Currency 2 3 2" xfId="183" xr:uid="{00000000-0005-0000-0000-00003C010000}"/>
    <cellStyle name="Currency 2 3 3" xfId="288" xr:uid="{00000000-0005-0000-0000-00003D010000}"/>
    <cellStyle name="Currency 2 3 4" xfId="338" xr:uid="{00000000-0005-0000-0000-00003E010000}"/>
    <cellStyle name="Currency 2 3 5" xfId="363" xr:uid="{00000000-0005-0000-0000-00003F010000}"/>
    <cellStyle name="Currency 2 3 6" xfId="497" xr:uid="{00000000-0005-0000-0000-000040010000}"/>
    <cellStyle name="Currency 2 3 7" xfId="507" xr:uid="{00000000-0005-0000-0000-000029000000}"/>
    <cellStyle name="Currency 2 4" xfId="90" xr:uid="{00000000-0005-0000-0000-000041010000}"/>
    <cellStyle name="Currency 3" xfId="540" xr:uid="{00000000-0005-0000-0000-000012020000}"/>
    <cellStyle name="Currency 4" xfId="541" xr:uid="{2E7DA05F-6040-49A4-BBD2-2E5DD8B25962}"/>
    <cellStyle name="Currency 5" xfId="546" xr:uid="{54621126-6B2A-479B-8B0C-50E7E6B91051}"/>
    <cellStyle name="Currency0" xfId="55" xr:uid="{00000000-0005-0000-0000-000042010000}"/>
    <cellStyle name="Currency0 2" xfId="56" xr:uid="{00000000-0005-0000-0000-000043010000}"/>
    <cellStyle name="Date" xfId="57" xr:uid="{00000000-0005-0000-0000-000044010000}"/>
    <cellStyle name="Date 2" xfId="58" xr:uid="{00000000-0005-0000-0000-000045010000}"/>
    <cellStyle name="Explanatory Text" xfId="306" builtinId="53" customBuiltin="1"/>
    <cellStyle name="Explanatory Text 2" xfId="59" xr:uid="{00000000-0005-0000-0000-000047010000}"/>
    <cellStyle name="Fixed" xfId="60" xr:uid="{00000000-0005-0000-0000-000048010000}"/>
    <cellStyle name="Fixed 2" xfId="61" xr:uid="{00000000-0005-0000-0000-000049010000}"/>
    <cellStyle name="Good" xfId="297" builtinId="26" customBuiltin="1"/>
    <cellStyle name="Good 2" xfId="62" xr:uid="{00000000-0005-0000-0000-00004B010000}"/>
    <cellStyle name="Heading 1" xfId="293" builtinId="16" customBuiltin="1"/>
    <cellStyle name="Heading 1 2" xfId="63" xr:uid="{00000000-0005-0000-0000-00004D010000}"/>
    <cellStyle name="Heading 2" xfId="294" builtinId="17" customBuiltin="1"/>
    <cellStyle name="Heading 2 2" xfId="64" xr:uid="{00000000-0005-0000-0000-00004F010000}"/>
    <cellStyle name="Heading 3" xfId="295" builtinId="18" customBuiltin="1"/>
    <cellStyle name="Heading 3 2" xfId="65" xr:uid="{00000000-0005-0000-0000-000051010000}"/>
    <cellStyle name="Heading 4" xfId="296" builtinId="19" customBuiltin="1"/>
    <cellStyle name="Heading 4 2" xfId="66" xr:uid="{00000000-0005-0000-0000-000053010000}"/>
    <cellStyle name="Hyperlink 2" xfId="23" xr:uid="{00000000-0005-0000-0000-000054010000}"/>
    <cellStyle name="Hyperlink 3" xfId="113" xr:uid="{00000000-0005-0000-0000-000055010000}"/>
    <cellStyle name="Input" xfId="300" builtinId="20" customBuiltin="1"/>
    <cellStyle name="Input 2" xfId="67" xr:uid="{00000000-0005-0000-0000-000057010000}"/>
    <cellStyle name="Linked Cell" xfId="303" builtinId="24" customBuiltin="1"/>
    <cellStyle name="Linked Cell 2" xfId="68" xr:uid="{00000000-0005-0000-0000-000059010000}"/>
    <cellStyle name="Neutral" xfId="299" builtinId="28" customBuiltin="1"/>
    <cellStyle name="Neutral 2" xfId="69" xr:uid="{00000000-0005-0000-0000-00005B010000}"/>
    <cellStyle name="Normal" xfId="0" builtinId="0"/>
    <cellStyle name="Normal 10" xfId="332" xr:uid="{00000000-0005-0000-0000-00005D010000}"/>
    <cellStyle name="Normal 11" xfId="501" xr:uid="{00000000-0005-0000-0000-000015020000}"/>
    <cellStyle name="Normal 12" xfId="543" xr:uid="{F9C1E7A8-F23B-42C4-8372-6ADBECA0F709}"/>
    <cellStyle name="Normal 2" xfId="2" xr:uid="{00000000-0005-0000-0000-00005E010000}"/>
    <cellStyle name="Normal 2 10" xfId="333" xr:uid="{00000000-0005-0000-0000-00005F010000}"/>
    <cellStyle name="Normal 2 11" xfId="359" xr:uid="{00000000-0005-0000-0000-000060010000}"/>
    <cellStyle name="Normal 2 12" xfId="396" xr:uid="{00000000-0005-0000-0000-000061010000}"/>
    <cellStyle name="Normal 2 13" xfId="502" xr:uid="{00000000-0005-0000-0000-000034000000}"/>
    <cellStyle name="Normal 2 2" xfId="13" xr:uid="{00000000-0005-0000-0000-000062010000}"/>
    <cellStyle name="Normal 2 2 2" xfId="70" xr:uid="{00000000-0005-0000-0000-000063010000}"/>
    <cellStyle name="Normal 2 3" xfId="14" xr:uid="{00000000-0005-0000-0000-000064010000}"/>
    <cellStyle name="Normal 2 3 2" xfId="21" xr:uid="{00000000-0005-0000-0000-000065010000}"/>
    <cellStyle name="Normal 2 4" xfId="12" xr:uid="{00000000-0005-0000-0000-000066010000}"/>
    <cellStyle name="Normal 2 4 2" xfId="162" xr:uid="{00000000-0005-0000-0000-000067010000}"/>
    <cellStyle name="Normal 2 4 2 2" xfId="267" xr:uid="{00000000-0005-0000-0000-000068010000}"/>
    <cellStyle name="Normal 2 4 2 3" xfId="476" xr:uid="{00000000-0005-0000-0000-000069010000}"/>
    <cellStyle name="Normal 2 4 3" xfId="130" xr:uid="{00000000-0005-0000-0000-00006A010000}"/>
    <cellStyle name="Normal 2 4 3 2" xfId="235" xr:uid="{00000000-0005-0000-0000-00006B010000}"/>
    <cellStyle name="Normal 2 4 3 3" xfId="444" xr:uid="{00000000-0005-0000-0000-00006C010000}"/>
    <cellStyle name="Normal 2 4 4" xfId="97" xr:uid="{00000000-0005-0000-0000-00006D010000}"/>
    <cellStyle name="Normal 2 4 5" xfId="203" xr:uid="{00000000-0005-0000-0000-00006E010000}"/>
    <cellStyle name="Normal 2 4 6" xfId="336" xr:uid="{00000000-0005-0000-0000-00006F010000}"/>
    <cellStyle name="Normal 2 4 7" xfId="361" xr:uid="{00000000-0005-0000-0000-000070010000}"/>
    <cellStyle name="Normal 2 4 8" xfId="412" xr:uid="{00000000-0005-0000-0000-000071010000}"/>
    <cellStyle name="Normal 2 4 9" xfId="505" xr:uid="{00000000-0005-0000-0000-000037000000}"/>
    <cellStyle name="Normal 2 5" xfId="146" xr:uid="{00000000-0005-0000-0000-000072010000}"/>
    <cellStyle name="Normal 2 5 2" xfId="251" xr:uid="{00000000-0005-0000-0000-000073010000}"/>
    <cellStyle name="Normal 2 5 3" xfId="460" xr:uid="{00000000-0005-0000-0000-000074010000}"/>
    <cellStyle name="Normal 2 6" xfId="114" xr:uid="{00000000-0005-0000-0000-000075010000}"/>
    <cellStyle name="Normal 2 6 2" xfId="219" xr:uid="{00000000-0005-0000-0000-000076010000}"/>
    <cellStyle name="Normal 2 6 3" xfId="428" xr:uid="{00000000-0005-0000-0000-000077010000}"/>
    <cellStyle name="Normal 2 7" xfId="181" xr:uid="{00000000-0005-0000-0000-000078010000}"/>
    <cellStyle name="Normal 2 7 2" xfId="286" xr:uid="{00000000-0005-0000-0000-000079010000}"/>
    <cellStyle name="Normal 2 7 3" xfId="495" xr:uid="{00000000-0005-0000-0000-00007A010000}"/>
    <cellStyle name="Normal 2 8" xfId="76" xr:uid="{00000000-0005-0000-0000-00007B010000}"/>
    <cellStyle name="Normal 2 9" xfId="187" xr:uid="{00000000-0005-0000-0000-00007C010000}"/>
    <cellStyle name="Normal 3" xfId="3" xr:uid="{00000000-0005-0000-0000-00007D010000}"/>
    <cellStyle name="Normal 3 10" xfId="503" xr:uid="{00000000-0005-0000-0000-000038000000}"/>
    <cellStyle name="Normal 3 2" xfId="15" xr:uid="{00000000-0005-0000-0000-00007E010000}"/>
    <cellStyle name="Normal 3 2 2" xfId="175" xr:uid="{00000000-0005-0000-0000-00007F010000}"/>
    <cellStyle name="Normal 3 2 2 2" xfId="280" xr:uid="{00000000-0005-0000-0000-000080010000}"/>
    <cellStyle name="Normal 3 2 2 3" xfId="489" xr:uid="{00000000-0005-0000-0000-000081010000}"/>
    <cellStyle name="Normal 3 2 3" xfId="143" xr:uid="{00000000-0005-0000-0000-000082010000}"/>
    <cellStyle name="Normal 3 2 3 2" xfId="248" xr:uid="{00000000-0005-0000-0000-000083010000}"/>
    <cellStyle name="Normal 3 2 3 3" xfId="457" xr:uid="{00000000-0005-0000-0000-000084010000}"/>
    <cellStyle name="Normal 3 2 4" xfId="110" xr:uid="{00000000-0005-0000-0000-000085010000}"/>
    <cellStyle name="Normal 3 2 5" xfId="216" xr:uid="{00000000-0005-0000-0000-000086010000}"/>
    <cellStyle name="Normal 3 2 6" xfId="425" xr:uid="{00000000-0005-0000-0000-000087010000}"/>
    <cellStyle name="Normal 3 3" xfId="159" xr:uid="{00000000-0005-0000-0000-000088010000}"/>
    <cellStyle name="Normal 3 3 2" xfId="264" xr:uid="{00000000-0005-0000-0000-000089010000}"/>
    <cellStyle name="Normal 3 3 3" xfId="473" xr:uid="{00000000-0005-0000-0000-00008A010000}"/>
    <cellStyle name="Normal 3 4" xfId="127" xr:uid="{00000000-0005-0000-0000-00008B010000}"/>
    <cellStyle name="Normal 3 4 2" xfId="232" xr:uid="{00000000-0005-0000-0000-00008C010000}"/>
    <cellStyle name="Normal 3 4 3" xfId="441" xr:uid="{00000000-0005-0000-0000-00008D010000}"/>
    <cellStyle name="Normal 3 5" xfId="92" xr:uid="{00000000-0005-0000-0000-00008E010000}"/>
    <cellStyle name="Normal 3 6" xfId="200" xr:uid="{00000000-0005-0000-0000-00008F010000}"/>
    <cellStyle name="Normal 3 7" xfId="334" xr:uid="{00000000-0005-0000-0000-000090010000}"/>
    <cellStyle name="Normal 3 8" xfId="360" xr:uid="{00000000-0005-0000-0000-000091010000}"/>
    <cellStyle name="Normal 3 9" xfId="409" xr:uid="{00000000-0005-0000-0000-000092010000}"/>
    <cellStyle name="Normal 4" xfId="5" xr:uid="{00000000-0005-0000-0000-000093010000}"/>
    <cellStyle name="Normal 4 2" xfId="16" xr:uid="{00000000-0005-0000-0000-000094010000}"/>
    <cellStyle name="Normal 4 2 2" xfId="184" xr:uid="{00000000-0005-0000-0000-000095010000}"/>
    <cellStyle name="Normal 4 2 3" xfId="289" xr:uid="{00000000-0005-0000-0000-000096010000}"/>
    <cellStyle name="Normal 4 2 4" xfId="498" xr:uid="{00000000-0005-0000-0000-000097010000}"/>
    <cellStyle name="Normal 4 3" xfId="77" xr:uid="{00000000-0005-0000-0000-000098010000}"/>
    <cellStyle name="Normal 4 4" xfId="339" xr:uid="{00000000-0005-0000-0000-000099010000}"/>
    <cellStyle name="Normal 4 5" xfId="364" xr:uid="{00000000-0005-0000-0000-00009A010000}"/>
    <cellStyle name="Normal 4 6" xfId="508" xr:uid="{00000000-0005-0000-0000-000039000000}"/>
    <cellStyle name="Normal 5" xfId="7" xr:uid="{00000000-0005-0000-0000-00009B010000}"/>
    <cellStyle name="Normal 5 2" xfId="17" xr:uid="{00000000-0005-0000-0000-00009C010000}"/>
    <cellStyle name="Normal 5 2 2" xfId="185" xr:uid="{00000000-0005-0000-0000-00009D010000}"/>
    <cellStyle name="Normal 5 2 3" xfId="290" xr:uid="{00000000-0005-0000-0000-00009E010000}"/>
    <cellStyle name="Normal 5 2 4" xfId="499" xr:uid="{00000000-0005-0000-0000-00009F010000}"/>
    <cellStyle name="Normal 5 3" xfId="22" xr:uid="{00000000-0005-0000-0000-0000A0010000}"/>
    <cellStyle name="Normal 5 4" xfId="340" xr:uid="{00000000-0005-0000-0000-0000A1010000}"/>
    <cellStyle name="Normal 5 5" xfId="365" xr:uid="{00000000-0005-0000-0000-0000A2010000}"/>
    <cellStyle name="Normal 5 6" xfId="509" xr:uid="{00000000-0005-0000-0000-00003A000000}"/>
    <cellStyle name="Normal 6" xfId="18" xr:uid="{00000000-0005-0000-0000-0000A3010000}"/>
    <cellStyle name="Normal 6 10" xfId="524" xr:uid="{00000000-0005-0000-0000-00003B000000}"/>
    <cellStyle name="Normal 6 2" xfId="112" xr:uid="{00000000-0005-0000-0000-0000A4010000}"/>
    <cellStyle name="Normal 6 2 2" xfId="177" xr:uid="{00000000-0005-0000-0000-0000A5010000}"/>
    <cellStyle name="Normal 6 2 2 2" xfId="282" xr:uid="{00000000-0005-0000-0000-0000A6010000}"/>
    <cellStyle name="Normal 6 2 2 3" xfId="491" xr:uid="{00000000-0005-0000-0000-0000A7010000}"/>
    <cellStyle name="Normal 6 2 3" xfId="145" xr:uid="{00000000-0005-0000-0000-0000A8010000}"/>
    <cellStyle name="Normal 6 2 3 2" xfId="250" xr:uid="{00000000-0005-0000-0000-0000A9010000}"/>
    <cellStyle name="Normal 6 2 3 3" xfId="459" xr:uid="{00000000-0005-0000-0000-0000AA010000}"/>
    <cellStyle name="Normal 6 2 4" xfId="218" xr:uid="{00000000-0005-0000-0000-0000AB010000}"/>
    <cellStyle name="Normal 6 2 5" xfId="427" xr:uid="{00000000-0005-0000-0000-0000AC010000}"/>
    <cellStyle name="Normal 6 3" xfId="161" xr:uid="{00000000-0005-0000-0000-0000AD010000}"/>
    <cellStyle name="Normal 6 3 2" xfId="266" xr:uid="{00000000-0005-0000-0000-0000AE010000}"/>
    <cellStyle name="Normal 6 3 3" xfId="475" xr:uid="{00000000-0005-0000-0000-0000AF010000}"/>
    <cellStyle name="Normal 6 4" xfId="129" xr:uid="{00000000-0005-0000-0000-0000B0010000}"/>
    <cellStyle name="Normal 6 4 2" xfId="234" xr:uid="{00000000-0005-0000-0000-0000B1010000}"/>
    <cellStyle name="Normal 6 4 3" xfId="443" xr:uid="{00000000-0005-0000-0000-0000B2010000}"/>
    <cellStyle name="Normal 6 5" xfId="96" xr:uid="{00000000-0005-0000-0000-0000B3010000}"/>
    <cellStyle name="Normal 6 6" xfId="202" xr:uid="{00000000-0005-0000-0000-0000B4010000}"/>
    <cellStyle name="Normal 6 7" xfId="343" xr:uid="{00000000-0005-0000-0000-0000B5010000}"/>
    <cellStyle name="Normal 6 8" xfId="380" xr:uid="{00000000-0005-0000-0000-0000B6010000}"/>
    <cellStyle name="Normal 6 9" xfId="411" xr:uid="{00000000-0005-0000-0000-0000B7010000}"/>
    <cellStyle name="Normal 7" xfId="9" xr:uid="{00000000-0005-0000-0000-0000B8010000}"/>
    <cellStyle name="Normal 7 2" xfId="178" xr:uid="{00000000-0005-0000-0000-0000B9010000}"/>
    <cellStyle name="Normal 7 3" xfId="283" xr:uid="{00000000-0005-0000-0000-0000BA010000}"/>
    <cellStyle name="Normal 7 4" xfId="335" xr:uid="{00000000-0005-0000-0000-0000BB010000}"/>
    <cellStyle name="Normal 7 5" xfId="492" xr:uid="{00000000-0005-0000-0000-0000BC010000}"/>
    <cellStyle name="Normal 7 6" xfId="504" xr:uid="{00000000-0005-0000-0000-00003C000000}"/>
    <cellStyle name="Normal 8" xfId="24" xr:uid="{00000000-0005-0000-0000-0000BD010000}"/>
    <cellStyle name="Normal 8 2" xfId="182" xr:uid="{00000000-0005-0000-0000-0000BE010000}"/>
    <cellStyle name="Normal 8 2 2" xfId="287" xr:uid="{00000000-0005-0000-0000-0000BF010000}"/>
    <cellStyle name="Normal 8 2 3" xfId="496" xr:uid="{00000000-0005-0000-0000-0000C0010000}"/>
    <cellStyle name="Normal 8 3" xfId="179" xr:uid="{00000000-0005-0000-0000-0000C1010000}"/>
    <cellStyle name="Normal 8 4" xfId="284" xr:uid="{00000000-0005-0000-0000-0000C2010000}"/>
    <cellStyle name="Normal 8 5" xfId="345" xr:uid="{00000000-0005-0000-0000-0000C3010000}"/>
    <cellStyle name="Normal 8 6" xfId="382" xr:uid="{00000000-0005-0000-0000-0000C4010000}"/>
    <cellStyle name="Normal 8 7" xfId="493" xr:uid="{00000000-0005-0000-0000-0000C5010000}"/>
    <cellStyle name="Normal 8 8" xfId="526" xr:uid="{00000000-0005-0000-0000-00003D000000}"/>
    <cellStyle name="Normal 9" xfId="75" xr:uid="{00000000-0005-0000-0000-0000C6010000}"/>
    <cellStyle name="Note 2" xfId="71" xr:uid="{00000000-0005-0000-0000-0000C7010000}"/>
    <cellStyle name="Note 2 10" xfId="525" xr:uid="{00000000-0005-0000-0000-00003E000000}"/>
    <cellStyle name="Note 2 2" xfId="111" xr:uid="{00000000-0005-0000-0000-0000C8010000}"/>
    <cellStyle name="Note 2 2 2" xfId="176" xr:uid="{00000000-0005-0000-0000-0000C9010000}"/>
    <cellStyle name="Note 2 2 2 2" xfId="281" xr:uid="{00000000-0005-0000-0000-0000CA010000}"/>
    <cellStyle name="Note 2 2 2 3" xfId="490" xr:uid="{00000000-0005-0000-0000-0000CB010000}"/>
    <cellStyle name="Note 2 2 3" xfId="144" xr:uid="{00000000-0005-0000-0000-0000CC010000}"/>
    <cellStyle name="Note 2 2 3 2" xfId="249" xr:uid="{00000000-0005-0000-0000-0000CD010000}"/>
    <cellStyle name="Note 2 2 3 3" xfId="458" xr:uid="{00000000-0005-0000-0000-0000CE010000}"/>
    <cellStyle name="Note 2 2 4" xfId="217" xr:uid="{00000000-0005-0000-0000-0000CF010000}"/>
    <cellStyle name="Note 2 2 5" xfId="426" xr:uid="{00000000-0005-0000-0000-0000D0010000}"/>
    <cellStyle name="Note 2 3" xfId="160" xr:uid="{00000000-0005-0000-0000-0000D1010000}"/>
    <cellStyle name="Note 2 3 2" xfId="265" xr:uid="{00000000-0005-0000-0000-0000D2010000}"/>
    <cellStyle name="Note 2 3 3" xfId="474" xr:uid="{00000000-0005-0000-0000-0000D3010000}"/>
    <cellStyle name="Note 2 4" xfId="128" xr:uid="{00000000-0005-0000-0000-0000D4010000}"/>
    <cellStyle name="Note 2 4 2" xfId="233" xr:uid="{00000000-0005-0000-0000-0000D5010000}"/>
    <cellStyle name="Note 2 4 3" xfId="442" xr:uid="{00000000-0005-0000-0000-0000D6010000}"/>
    <cellStyle name="Note 2 5" xfId="93" xr:uid="{00000000-0005-0000-0000-0000D7010000}"/>
    <cellStyle name="Note 2 6" xfId="201" xr:uid="{00000000-0005-0000-0000-0000D8010000}"/>
    <cellStyle name="Note 2 7" xfId="344" xr:uid="{00000000-0005-0000-0000-0000D9010000}"/>
    <cellStyle name="Note 2 8" xfId="381" xr:uid="{00000000-0005-0000-0000-0000DA010000}"/>
    <cellStyle name="Note 2 9" xfId="410" xr:uid="{00000000-0005-0000-0000-0000DB010000}"/>
    <cellStyle name="Note 3" xfId="346" xr:uid="{00000000-0005-0000-0000-0000DC010000}"/>
    <cellStyle name="Note 3 2" xfId="383" xr:uid="{00000000-0005-0000-0000-0000DD010000}"/>
    <cellStyle name="Note 3 3" xfId="527" xr:uid="{00000000-0005-0000-0000-00003F000000}"/>
    <cellStyle name="Output" xfId="301" builtinId="21" customBuiltin="1"/>
    <cellStyle name="Output 2" xfId="72" xr:uid="{00000000-0005-0000-0000-0000DF010000}"/>
    <cellStyle name="Percent 2" xfId="6" xr:uid="{00000000-0005-0000-0000-0000E0010000}"/>
    <cellStyle name="Percent 2 2" xfId="19" xr:uid="{00000000-0005-0000-0000-0000E1010000}"/>
    <cellStyle name="Percent 2 2 2" xfId="95" xr:uid="{00000000-0005-0000-0000-0000E2010000}"/>
    <cellStyle name="Percent 2 3" xfId="94" xr:uid="{00000000-0005-0000-0000-0000E3010000}"/>
    <cellStyle name="Percent 2 4" xfId="341" xr:uid="{00000000-0005-0000-0000-0000E4010000}"/>
    <cellStyle name="Percent 2 5" xfId="366" xr:uid="{00000000-0005-0000-0000-0000E5010000}"/>
    <cellStyle name="Percent 2 6" xfId="510" xr:uid="{00000000-0005-0000-0000-000041000000}"/>
    <cellStyle name="Percent 3" xfId="8" xr:uid="{00000000-0005-0000-0000-0000E6010000}"/>
    <cellStyle name="Percent 3 2" xfId="20" xr:uid="{00000000-0005-0000-0000-0000E7010000}"/>
    <cellStyle name="Percent 3 2 2" xfId="186" xr:uid="{00000000-0005-0000-0000-0000E8010000}"/>
    <cellStyle name="Percent 3 2 3" xfId="291" xr:uid="{00000000-0005-0000-0000-0000E9010000}"/>
    <cellStyle name="Percent 3 2 4" xfId="500" xr:uid="{00000000-0005-0000-0000-0000EA010000}"/>
    <cellStyle name="Percent 3 3" xfId="180" xr:uid="{00000000-0005-0000-0000-0000EB010000}"/>
    <cellStyle name="Percent 3 4" xfId="285" xr:uid="{00000000-0005-0000-0000-0000EC010000}"/>
    <cellStyle name="Percent 3 5" xfId="342" xr:uid="{00000000-0005-0000-0000-0000ED010000}"/>
    <cellStyle name="Percent 3 6" xfId="367" xr:uid="{00000000-0005-0000-0000-0000EE010000}"/>
    <cellStyle name="Percent 3 7" xfId="494" xr:uid="{00000000-0005-0000-0000-0000EF010000}"/>
    <cellStyle name="Percent 3 8" xfId="511" xr:uid="{00000000-0005-0000-0000-000042000000}"/>
    <cellStyle name="Percent 4" xfId="544" xr:uid="{91D788F8-0036-4F7D-8A16-29F59934971F}"/>
    <cellStyle name="Title" xfId="292" builtinId="15" customBuiltin="1"/>
    <cellStyle name="Total" xfId="307" builtinId="25" customBuiltin="1"/>
    <cellStyle name="Total 2" xfId="73" xr:uid="{00000000-0005-0000-0000-0000F2010000}"/>
    <cellStyle name="Warning Text" xfId="305" builtinId="11" customBuiltin="1"/>
    <cellStyle name="Warning Text 2" xfId="74" xr:uid="{00000000-0005-0000-0000-0000F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NHTS 2009 - Mode Share</a:t>
            </a:r>
            <a:r>
              <a:rPr lang="en-US" baseline="0"/>
              <a:t> by Trip Lengths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NHTS2009!$C$25</c:f>
              <c:strCache>
                <c:ptCount val="1"/>
                <c:pt idx="0">
                  <c:v>Walk/Bike%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NHTS2009!$D$24:$I$24</c:f>
              <c:strCache>
                <c:ptCount val="6"/>
                <c:pt idx="0">
                  <c:v> 0-1 mi</c:v>
                </c:pt>
                <c:pt idx="1">
                  <c:v> 1-2 mi</c:v>
                </c:pt>
                <c:pt idx="2">
                  <c:v> 2-3 mi</c:v>
                </c:pt>
                <c:pt idx="3">
                  <c:v> 3-5 mi</c:v>
                </c:pt>
                <c:pt idx="4">
                  <c:v> 5-10 mi</c:v>
                </c:pt>
                <c:pt idx="5">
                  <c:v> 10+ mi</c:v>
                </c:pt>
              </c:strCache>
            </c:strRef>
          </c:cat>
          <c:val>
            <c:numRef>
              <c:f>NHTS2009!$D$25:$I$25</c:f>
              <c:numCache>
                <c:formatCode>0.0%</c:formatCode>
                <c:ptCount val="6"/>
                <c:pt idx="0">
                  <c:v>0.56340992553670188</c:v>
                </c:pt>
                <c:pt idx="1">
                  <c:v>0.11577655925286061</c:v>
                </c:pt>
                <c:pt idx="2">
                  <c:v>2.3804745898760849E-2</c:v>
                </c:pt>
                <c:pt idx="3">
                  <c:v>1.2775928439923381E-2</c:v>
                </c:pt>
                <c:pt idx="4">
                  <c:v>5.9713888849111454E-3</c:v>
                </c:pt>
                <c:pt idx="5">
                  <c:v>2.1904686240906152E-3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A-4A26-A551-558ECFEF14DB}"/>
            </c:ext>
          </c:extLst>
        </c:ser>
        <c:ser>
          <c:idx val="1"/>
          <c:order val="1"/>
          <c:tx>
            <c:strRef>
              <c:f>NHTS2009!$C$26</c:f>
              <c:strCache>
                <c:ptCount val="1"/>
                <c:pt idx="0">
                  <c:v>Vehicles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NHTS2009!$D$24:$I$24</c:f>
              <c:strCache>
                <c:ptCount val="6"/>
                <c:pt idx="0">
                  <c:v> 0-1 mi</c:v>
                </c:pt>
                <c:pt idx="1">
                  <c:v> 1-2 mi</c:v>
                </c:pt>
                <c:pt idx="2">
                  <c:v> 2-3 mi</c:v>
                </c:pt>
                <c:pt idx="3">
                  <c:v> 3-5 mi</c:v>
                </c:pt>
                <c:pt idx="4">
                  <c:v> 5-10 mi</c:v>
                </c:pt>
                <c:pt idx="5">
                  <c:v> 10+ mi</c:v>
                </c:pt>
              </c:strCache>
            </c:strRef>
          </c:cat>
          <c:val>
            <c:numRef>
              <c:f>NHTS2009!$D$26:$I$26</c:f>
              <c:numCache>
                <c:formatCode>0.0%</c:formatCode>
                <c:ptCount val="6"/>
                <c:pt idx="0">
                  <c:v>0.43659007446329817</c:v>
                </c:pt>
                <c:pt idx="1">
                  <c:v>0.88422344074713943</c:v>
                </c:pt>
                <c:pt idx="2">
                  <c:v>0.9761952541012392</c:v>
                </c:pt>
                <c:pt idx="3">
                  <c:v>0.98722407156007663</c:v>
                </c:pt>
                <c:pt idx="4">
                  <c:v>0.99402861111508889</c:v>
                </c:pt>
                <c:pt idx="5">
                  <c:v>0.99780953137590933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A-4A26-A551-558ECFEF14DB}"/>
            </c:ext>
          </c:extLst>
        </c:ser>
        <c:ser>
          <c:idx val="2"/>
          <c:order val="2"/>
          <c:tx>
            <c:strRef>
              <c:f>NHTS2009!$C$27</c:f>
              <c:strCache>
                <c:ptCount val="1"/>
                <c:pt idx="0">
                  <c:v>assumed %shift from Vehicles to Walk/Bike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NHTS2009!$D$27:$I$27</c:f>
              <c:numCache>
                <c:formatCode>0.0%</c:formatCode>
                <c:ptCount val="6"/>
                <c:pt idx="0">
                  <c:v>0.28170496276835094</c:v>
                </c:pt>
                <c:pt idx="1">
                  <c:v>5.7888279626430304E-2</c:v>
                </c:pt>
                <c:pt idx="2">
                  <c:v>1.1902372949380425E-2</c:v>
                </c:pt>
                <c:pt idx="3">
                  <c:v>6.3879642199616907E-3</c:v>
                </c:pt>
                <c:pt idx="4">
                  <c:v>2.9856944424555727E-3</c:v>
                </c:pt>
                <c:pt idx="5">
                  <c:v>1.0952343120453076E-3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A-4A26-A551-558ECFEF1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971679"/>
        <c:axId val="1201437167"/>
      </c:lineChart>
      <c:catAx>
        <c:axId val="118297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1437167"/>
        <c:crosses val="autoZero"/>
        <c:auto val="1"/>
        <c:lblAlgn val="ctr"/>
        <c:lblOffset val="100"/>
        <c:noMultiLvlLbl val="0"/>
      </c:catAx>
      <c:valAx>
        <c:axId val="12014371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71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323849</xdr:colOff>
      <xdr:row>2</xdr:row>
      <xdr:rowOff>42862</xdr:rowOff>
    </xdr:from>
    <xdr:to>
      <xdr:col>18</xdr:col>
      <xdr:colOff>371475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8322A9-795E-4443-AA76-4271FDC98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57"/>
  <sheetViews>
    <sheetView tabSelected="1" zoomScale="80" zoomScaleNormal="80" workbookViewId="0">
      <selection sqref="A1:P1"/>
    </sheetView>
  </sheetViews>
  <sheetFormatPr defaultRowHeight="13.5" x14ac:dyDescent="0.3"/>
  <cols>
    <col min="1" max="1" width="6.84375" bestFit="1" customWidth="1"/>
    <col min="2" max="2" width="9.15234375" customWidth="1"/>
    <col min="3" max="3" width="21.3828125" customWidth="1"/>
    <col min="4" max="4" width="19.61328125" style="2" customWidth="1"/>
    <col min="5" max="11" width="18.61328125" style="2" customWidth="1"/>
    <col min="12" max="12" width="17.84375" bestFit="1" customWidth="1"/>
    <col min="13" max="15" width="22" customWidth="1"/>
    <col min="16" max="17" width="24.84375" bestFit="1" customWidth="1"/>
    <col min="18" max="18" width="19.61328125" bestFit="1" customWidth="1"/>
    <col min="19" max="19" width="21.4609375" bestFit="1" customWidth="1"/>
    <col min="20" max="21" width="21.4609375" customWidth="1"/>
    <col min="22" max="22" width="23.765625" bestFit="1" customWidth="1"/>
    <col min="23" max="23" width="23.765625" customWidth="1"/>
    <col min="24" max="24" width="17.765625" bestFit="1" customWidth="1"/>
    <col min="25" max="25" width="21.84375" bestFit="1" customWidth="1"/>
  </cols>
  <sheetData>
    <row r="1" spans="1:16" ht="17.5" x14ac:dyDescent="0.35">
      <c r="A1" s="342" t="s">
        <v>24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39.75" customHeight="1" x14ac:dyDescent="0.3">
      <c r="A2" s="45" t="s">
        <v>0</v>
      </c>
      <c r="B2" s="45" t="s">
        <v>4</v>
      </c>
      <c r="C2" s="28" t="s">
        <v>16</v>
      </c>
      <c r="D2" s="46" t="s">
        <v>50</v>
      </c>
      <c r="E2" s="46" t="s">
        <v>22</v>
      </c>
      <c r="F2" s="28" t="s">
        <v>17</v>
      </c>
      <c r="G2" s="46" t="s">
        <v>77</v>
      </c>
      <c r="H2" s="46" t="s">
        <v>51</v>
      </c>
      <c r="I2" s="46" t="s">
        <v>158</v>
      </c>
      <c r="J2" s="46" t="s">
        <v>45</v>
      </c>
      <c r="K2" s="46" t="s">
        <v>56</v>
      </c>
      <c r="L2" s="158" t="s">
        <v>78</v>
      </c>
      <c r="M2" s="158" t="s">
        <v>79</v>
      </c>
      <c r="N2" s="158" t="s">
        <v>151</v>
      </c>
      <c r="O2" s="158" t="s">
        <v>207</v>
      </c>
      <c r="P2" s="158" t="s">
        <v>80</v>
      </c>
    </row>
    <row r="3" spans="1:16" x14ac:dyDescent="0.3">
      <c r="A3" s="18">
        <v>2019</v>
      </c>
      <c r="B3" s="20">
        <v>0</v>
      </c>
      <c r="C3" s="66">
        <f>' Delay Reduction'!L8</f>
        <v>0</v>
      </c>
      <c r="D3" s="71">
        <f>' Delay Reduction'!M8</f>
        <v>0</v>
      </c>
      <c r="E3" s="67">
        <f>'Operating Cost Savings'!I2</f>
        <v>0</v>
      </c>
      <c r="F3" s="68">
        <f>'Safety Summary'!C2</f>
        <v>0</v>
      </c>
      <c r="G3" s="69">
        <f>'Other Emissions Reduction'!X2</f>
        <v>0</v>
      </c>
      <c r="H3" s="127"/>
      <c r="I3" s="125"/>
      <c r="J3" s="24">
        <f t="shared" ref="J3:J9" si="0">SUM(C3:I3)</f>
        <v>0</v>
      </c>
      <c r="K3" s="24">
        <f t="shared" ref="K3:K27" si="1">J3/((1.07)^B3)</f>
        <v>0</v>
      </c>
      <c r="L3" s="159">
        <f>'Other Emissions Reduction'!V2</f>
        <v>0</v>
      </c>
      <c r="M3" s="159">
        <f>'Other Emissions Reduction'!W2</f>
        <v>0</v>
      </c>
      <c r="N3" s="179">
        <f>Tree!I19</f>
        <v>0</v>
      </c>
      <c r="O3" s="291">
        <f>BikePed!O13</f>
        <v>0</v>
      </c>
      <c r="P3" s="126">
        <f>M3+K3+N3</f>
        <v>0</v>
      </c>
    </row>
    <row r="4" spans="1:16" ht="13.5" customHeight="1" x14ac:dyDescent="0.3">
      <c r="A4" s="18">
        <f>A3+1</f>
        <v>2020</v>
      </c>
      <c r="B4" s="20">
        <v>1</v>
      </c>
      <c r="C4" s="66">
        <f>' Delay Reduction'!L9</f>
        <v>0</v>
      </c>
      <c r="D4" s="71">
        <f>' Delay Reduction'!M9</f>
        <v>0</v>
      </c>
      <c r="E4" s="67">
        <f>'Operating Cost Savings'!I3</f>
        <v>0</v>
      </c>
      <c r="F4" s="68">
        <f>'Safety Summary'!C3</f>
        <v>0</v>
      </c>
      <c r="G4" s="69">
        <f>'Other Emissions Reduction'!X3</f>
        <v>0</v>
      </c>
      <c r="H4" s="127">
        <f>'Operations and Maintenance'!F4</f>
        <v>0</v>
      </c>
      <c r="I4" s="125"/>
      <c r="J4" s="24">
        <f t="shared" si="0"/>
        <v>0</v>
      </c>
      <c r="K4" s="24">
        <f t="shared" si="1"/>
        <v>0</v>
      </c>
      <c r="L4" s="159">
        <f>'Other Emissions Reduction'!V3</f>
        <v>0</v>
      </c>
      <c r="M4" s="159">
        <f>'Other Emissions Reduction'!W3</f>
        <v>0</v>
      </c>
      <c r="N4" s="179">
        <f>Tree!I20</f>
        <v>0</v>
      </c>
      <c r="O4" s="291">
        <f>BikePed!O14</f>
        <v>0</v>
      </c>
      <c r="P4" s="126">
        <f>M4+K4+N4+O4</f>
        <v>0</v>
      </c>
    </row>
    <row r="5" spans="1:16" x14ac:dyDescent="0.3">
      <c r="A5" s="18">
        <f t="shared" ref="A5:A30" si="2">A4+1</f>
        <v>2021</v>
      </c>
      <c r="B5" s="20">
        <v>2</v>
      </c>
      <c r="C5" s="66">
        <f>' Delay Reduction'!L10</f>
        <v>0</v>
      </c>
      <c r="D5" s="71">
        <f>' Delay Reduction'!M10</f>
        <v>0</v>
      </c>
      <c r="E5" s="67">
        <f>'Operating Cost Savings'!I4</f>
        <v>0</v>
      </c>
      <c r="F5" s="68">
        <f>'Safety Summary'!C4</f>
        <v>0</v>
      </c>
      <c r="G5" s="69">
        <f>'Other Emissions Reduction'!X4</f>
        <v>0</v>
      </c>
      <c r="H5" s="127">
        <f>'Operations and Maintenance'!F5</f>
        <v>0</v>
      </c>
      <c r="I5" s="125"/>
      <c r="J5" s="24">
        <f t="shared" si="0"/>
        <v>0</v>
      </c>
      <c r="K5" s="24">
        <f t="shared" si="1"/>
        <v>0</v>
      </c>
      <c r="L5" s="159">
        <f>'Other Emissions Reduction'!V4</f>
        <v>0</v>
      </c>
      <c r="M5" s="159">
        <f>'Other Emissions Reduction'!W4</f>
        <v>0</v>
      </c>
      <c r="N5" s="179">
        <f>Tree!I21</f>
        <v>0</v>
      </c>
      <c r="O5" s="291">
        <f>BikePed!O15</f>
        <v>0</v>
      </c>
      <c r="P5" s="126">
        <f t="shared" ref="P5:P31" si="3">M5+K5+N5+O5</f>
        <v>0</v>
      </c>
    </row>
    <row r="6" spans="1:16" x14ac:dyDescent="0.3">
      <c r="A6" s="18">
        <f t="shared" si="2"/>
        <v>2022</v>
      </c>
      <c r="B6" s="20">
        <v>3</v>
      </c>
      <c r="C6" s="66">
        <f>' Delay Reduction'!L11</f>
        <v>0</v>
      </c>
      <c r="D6" s="71">
        <f>' Delay Reduction'!M11</f>
        <v>0</v>
      </c>
      <c r="E6" s="67">
        <f>'Operating Cost Savings'!I5</f>
        <v>0</v>
      </c>
      <c r="F6" s="68">
        <f>'Safety Summary'!C5</f>
        <v>0</v>
      </c>
      <c r="G6" s="69">
        <f>'Other Emissions Reduction'!X5</f>
        <v>0</v>
      </c>
      <c r="H6" s="127">
        <f>'Operations and Maintenance'!F6</f>
        <v>0</v>
      </c>
      <c r="I6" s="125"/>
      <c r="J6" s="24">
        <f t="shared" si="0"/>
        <v>0</v>
      </c>
      <c r="K6" s="24">
        <f t="shared" si="1"/>
        <v>0</v>
      </c>
      <c r="L6" s="159">
        <f>'Other Emissions Reduction'!V5</f>
        <v>0</v>
      </c>
      <c r="M6" s="159">
        <f>'Other Emissions Reduction'!W5</f>
        <v>0</v>
      </c>
      <c r="N6" s="179">
        <f>Tree!I22</f>
        <v>0</v>
      </c>
      <c r="O6" s="291">
        <f>BikePed!O16</f>
        <v>0</v>
      </c>
      <c r="P6" s="126">
        <f t="shared" si="3"/>
        <v>0</v>
      </c>
    </row>
    <row r="7" spans="1:16" x14ac:dyDescent="0.3">
      <c r="A7" s="18">
        <f t="shared" si="2"/>
        <v>2023</v>
      </c>
      <c r="B7" s="20">
        <v>4</v>
      </c>
      <c r="C7" s="66">
        <f>' Delay Reduction'!L12</f>
        <v>0</v>
      </c>
      <c r="D7" s="71">
        <f>' Delay Reduction'!M12</f>
        <v>0</v>
      </c>
      <c r="E7" s="67">
        <f>'Operating Cost Savings'!I6</f>
        <v>0</v>
      </c>
      <c r="F7" s="68">
        <f>'Safety Summary'!C6</f>
        <v>0</v>
      </c>
      <c r="G7" s="69">
        <f>'Other Emissions Reduction'!X6</f>
        <v>0</v>
      </c>
      <c r="H7" s="127">
        <f>'Operations and Maintenance'!F7</f>
        <v>27615308.75</v>
      </c>
      <c r="I7" s="125"/>
      <c r="J7" s="24">
        <f t="shared" si="0"/>
        <v>27615308.75</v>
      </c>
      <c r="K7" s="24">
        <f t="shared" si="1"/>
        <v>21067586.82458913</v>
      </c>
      <c r="L7" s="159">
        <f>'Other Emissions Reduction'!V6</f>
        <v>0</v>
      </c>
      <c r="M7" s="159">
        <f>'Other Emissions Reduction'!W6</f>
        <v>0</v>
      </c>
      <c r="N7" s="179">
        <f>Tree!I23</f>
        <v>0</v>
      </c>
      <c r="O7" s="291">
        <f>BikePed!O17</f>
        <v>0</v>
      </c>
      <c r="P7" s="126">
        <f t="shared" si="3"/>
        <v>21067586.82458913</v>
      </c>
    </row>
    <row r="8" spans="1:16" x14ac:dyDescent="0.3">
      <c r="A8" s="18">
        <f t="shared" si="2"/>
        <v>2024</v>
      </c>
      <c r="B8" s="20">
        <v>5</v>
      </c>
      <c r="C8" s="66">
        <f>' Delay Reduction'!L13</f>
        <v>0</v>
      </c>
      <c r="D8" s="71">
        <f>' Delay Reduction'!M13</f>
        <v>0</v>
      </c>
      <c r="E8" s="67">
        <f>'Operating Cost Savings'!I7</f>
        <v>0</v>
      </c>
      <c r="F8" s="68">
        <f>'Safety Summary'!C7</f>
        <v>0</v>
      </c>
      <c r="G8" s="69">
        <f>'Other Emissions Reduction'!X7</f>
        <v>0</v>
      </c>
      <c r="H8" s="127">
        <f>'Operations and Maintenance'!F8</f>
        <v>0</v>
      </c>
      <c r="I8" s="125"/>
      <c r="J8" s="24">
        <f t="shared" si="0"/>
        <v>0</v>
      </c>
      <c r="K8" s="24">
        <f t="shared" si="1"/>
        <v>0</v>
      </c>
      <c r="L8" s="159">
        <f>'Other Emissions Reduction'!V7</f>
        <v>0</v>
      </c>
      <c r="M8" s="159">
        <f>'Other Emissions Reduction'!W7</f>
        <v>0</v>
      </c>
      <c r="N8" s="179">
        <f>Tree!I24</f>
        <v>0</v>
      </c>
      <c r="O8" s="291">
        <f>BikePed!O18</f>
        <v>0</v>
      </c>
      <c r="P8" s="126">
        <f t="shared" si="3"/>
        <v>0</v>
      </c>
    </row>
    <row r="9" spans="1:16" x14ac:dyDescent="0.3">
      <c r="A9" s="18">
        <f t="shared" si="2"/>
        <v>2025</v>
      </c>
      <c r="B9" s="20">
        <v>6</v>
      </c>
      <c r="C9" s="66">
        <f>' Delay Reduction'!L14</f>
        <v>0</v>
      </c>
      <c r="D9" s="71">
        <f>' Delay Reduction'!M14</f>
        <v>0</v>
      </c>
      <c r="E9" s="67">
        <f>'Operating Cost Savings'!I8</f>
        <v>0</v>
      </c>
      <c r="F9" s="68">
        <f>'Safety Summary'!C8</f>
        <v>0</v>
      </c>
      <c r="G9" s="69">
        <f>'Other Emissions Reduction'!X8</f>
        <v>0</v>
      </c>
      <c r="H9" s="127">
        <f>'Operations and Maintenance'!F9</f>
        <v>0</v>
      </c>
      <c r="I9" s="125"/>
      <c r="J9" s="24">
        <f t="shared" si="0"/>
        <v>0</v>
      </c>
      <c r="K9" s="24">
        <f t="shared" si="1"/>
        <v>0</v>
      </c>
      <c r="L9" s="159">
        <f>'Other Emissions Reduction'!V8</f>
        <v>0</v>
      </c>
      <c r="M9" s="159">
        <f>'Other Emissions Reduction'!W8</f>
        <v>0</v>
      </c>
      <c r="N9" s="179">
        <f>Tree!I25</f>
        <v>0</v>
      </c>
      <c r="O9" s="291">
        <f>BikePed!O19</f>
        <v>0</v>
      </c>
      <c r="P9" s="126">
        <f t="shared" si="3"/>
        <v>0</v>
      </c>
    </row>
    <row r="10" spans="1:16" x14ac:dyDescent="0.3">
      <c r="A10" s="18">
        <f t="shared" si="2"/>
        <v>2026</v>
      </c>
      <c r="B10" s="20">
        <v>7</v>
      </c>
      <c r="C10" s="66">
        <f>' Delay Reduction'!L15</f>
        <v>18788683.161594298</v>
      </c>
      <c r="D10" s="71">
        <f>' Delay Reduction'!M15</f>
        <v>1078190.9600000919</v>
      </c>
      <c r="E10" s="67">
        <f>'Operating Cost Savings'!I9</f>
        <v>1871128.7999992371</v>
      </c>
      <c r="F10" s="68">
        <f>'Safety Summary'!C9</f>
        <v>2404973.0792963584</v>
      </c>
      <c r="G10" s="69">
        <f>'Other Emissions Reduction'!X9</f>
        <v>395333.30675009848</v>
      </c>
      <c r="H10" s="127">
        <f>'Operations and Maintenance'!F10</f>
        <v>-84704.545454545441</v>
      </c>
      <c r="I10" s="125">
        <v>10000000</v>
      </c>
      <c r="J10" s="24">
        <f>SUM(C10:I10)</f>
        <v>34453604.762185536</v>
      </c>
      <c r="K10" s="24">
        <f t="shared" si="1"/>
        <v>21455973.472644761</v>
      </c>
      <c r="L10" s="159">
        <f>'Other Emissions Reduction'!V9</f>
        <v>357047.03540583694</v>
      </c>
      <c r="M10" s="159">
        <f>'Other Emissions Reduction'!W9</f>
        <v>290311.9136387959</v>
      </c>
      <c r="N10" s="179">
        <f>Tree!I26</f>
        <v>354.36633703128837</v>
      </c>
      <c r="O10" s="291">
        <f>BikePed!O20</f>
        <v>649628.69860383449</v>
      </c>
      <c r="P10" s="126">
        <f t="shared" si="3"/>
        <v>22396268.451224424</v>
      </c>
    </row>
    <row r="11" spans="1:16" x14ac:dyDescent="0.3">
      <c r="A11" s="18">
        <f t="shared" si="2"/>
        <v>2027</v>
      </c>
      <c r="B11" s="20">
        <v>8</v>
      </c>
      <c r="C11" s="66">
        <f>' Delay Reduction'!L16</f>
        <v>18715092.574202847</v>
      </c>
      <c r="D11" s="71">
        <f>' Delay Reduction'!M16</f>
        <v>1090440.1199999542</v>
      </c>
      <c r="E11" s="67">
        <f>'Operating Cost Savings'!I10</f>
        <v>1822781.5999984741</v>
      </c>
      <c r="F11" s="68">
        <f>'Safety Summary'!C10</f>
        <v>2451389.0597267784</v>
      </c>
      <c r="G11" s="69">
        <f>'Other Emissions Reduction'!X10</f>
        <v>357663.86828519451</v>
      </c>
      <c r="H11" s="127">
        <f>'Operations and Maintenance'!F11</f>
        <v>-84704.545454545441</v>
      </c>
      <c r="I11" s="125"/>
      <c r="J11" s="24">
        <f t="shared" ref="J11:J30" si="4">SUM(C11:I11)</f>
        <v>24352662.676758699</v>
      </c>
      <c r="K11" s="24">
        <f t="shared" si="1"/>
        <v>14173471.398274763</v>
      </c>
      <c r="L11" s="159">
        <f>'Other Emissions Reduction'!V10</f>
        <v>361811.84425440524</v>
      </c>
      <c r="M11" s="159">
        <f>'Other Emissions Reduction'!W10</f>
        <v>285617.61093858304</v>
      </c>
      <c r="N11" s="179">
        <f>Tree!I27</f>
        <v>340.73603955607757</v>
      </c>
      <c r="O11" s="291">
        <f>BikePed!O21</f>
        <v>618034.27542076993</v>
      </c>
      <c r="P11" s="126">
        <f t="shared" si="3"/>
        <v>15077464.020673672</v>
      </c>
    </row>
    <row r="12" spans="1:16" x14ac:dyDescent="0.3">
      <c r="A12" s="18">
        <f t="shared" si="2"/>
        <v>2028</v>
      </c>
      <c r="B12" s="20">
        <v>9</v>
      </c>
      <c r="C12" s="66">
        <f>' Delay Reduction'!L17</f>
        <v>18641501.986797146</v>
      </c>
      <c r="D12" s="71">
        <f>' Delay Reduction'!M17</f>
        <v>1102689.2800000459</v>
      </c>
      <c r="E12" s="67">
        <f>'Operating Cost Savings'!I11</f>
        <v>1774434.4000015259</v>
      </c>
      <c r="F12" s="68">
        <f>'Safety Summary'!C11</f>
        <v>2498700.8685795059</v>
      </c>
      <c r="G12" s="69">
        <f>'Other Emissions Reduction'!X11</f>
        <v>318619.02532279055</v>
      </c>
      <c r="H12" s="127">
        <f>'Operations and Maintenance'!F12</f>
        <v>-84704.545454545441</v>
      </c>
      <c r="I12" s="125"/>
      <c r="J12" s="24">
        <f t="shared" si="4"/>
        <v>24251241.01524647</v>
      </c>
      <c r="K12" s="24">
        <f t="shared" si="1"/>
        <v>13191068.287733205</v>
      </c>
      <c r="L12" s="159">
        <f>'Other Emissions Reduction'!V11</f>
        <v>366524.95744039817</v>
      </c>
      <c r="M12" s="159">
        <f>'Other Emissions Reduction'!W11</f>
        <v>280910.86020385689</v>
      </c>
      <c r="N12" s="179">
        <f>Tree!I28</f>
        <v>327.82995237963291</v>
      </c>
      <c r="O12" s="291">
        <f>BikePed!O22</f>
        <v>587990.70624292828</v>
      </c>
      <c r="P12" s="126">
        <f t="shared" si="3"/>
        <v>14060297.684132369</v>
      </c>
    </row>
    <row r="13" spans="1:16" x14ac:dyDescent="0.3">
      <c r="A13" s="18">
        <f t="shared" si="2"/>
        <v>2029</v>
      </c>
      <c r="B13" s="20">
        <v>10</v>
      </c>
      <c r="C13" s="66">
        <f>' Delay Reduction'!L18</f>
        <v>18567911.399405699</v>
      </c>
      <c r="D13" s="71">
        <f>' Delay Reduction'!M18</f>
        <v>1114938.4399999082</v>
      </c>
      <c r="E13" s="67">
        <f>'Operating Cost Savings'!I12</f>
        <v>1726087.2000007629</v>
      </c>
      <c r="F13" s="68">
        <f>'Safety Summary'!C12</f>
        <v>2546925.7953430903</v>
      </c>
      <c r="G13" s="69">
        <f>'Other Emissions Reduction'!X12</f>
        <v>278463.3251174707</v>
      </c>
      <c r="H13" s="127">
        <f>'Operations and Maintenance'!F13</f>
        <v>-84704.545454545441</v>
      </c>
      <c r="I13" s="125"/>
      <c r="J13" s="24">
        <f t="shared" si="4"/>
        <v>24149621.614412382</v>
      </c>
      <c r="K13" s="24">
        <f t="shared" si="1"/>
        <v>12276443.053007815</v>
      </c>
      <c r="L13" s="159">
        <f>'Other Emissions Reduction'!V12</f>
        <v>371186.37496285554</v>
      </c>
      <c r="M13" s="159">
        <f>'Other Emissions Reduction'!W12</f>
        <v>276197.52290243498</v>
      </c>
      <c r="N13" s="179">
        <f>Tree!I29</f>
        <v>315.60235026644204</v>
      </c>
      <c r="O13" s="291">
        <f>BikePed!O23</f>
        <v>559480.64601820463</v>
      </c>
      <c r="P13" s="126">
        <f t="shared" si="3"/>
        <v>13112436.824278722</v>
      </c>
    </row>
    <row r="14" spans="1:16" x14ac:dyDescent="0.3">
      <c r="A14" s="18">
        <f t="shared" si="2"/>
        <v>2030</v>
      </c>
      <c r="B14" s="20">
        <v>11</v>
      </c>
      <c r="C14" s="66">
        <f>' Delay Reduction'!L19</f>
        <v>18494320.811999995</v>
      </c>
      <c r="D14" s="71">
        <f>' Delay Reduction'!M19</f>
        <v>1127187.6000000001</v>
      </c>
      <c r="E14" s="67">
        <f>'Operating Cost Savings'!I13</f>
        <v>1677740</v>
      </c>
      <c r="F14" s="68">
        <f>'Safety Summary'!C13</f>
        <v>2596081.4631932122</v>
      </c>
      <c r="G14" s="69">
        <f>'Other Emissions Reduction'!X13</f>
        <v>237304.51639992796</v>
      </c>
      <c r="H14" s="127">
        <f>'Operations and Maintenance'!F14</f>
        <v>-84704.545454545441</v>
      </c>
      <c r="I14" s="125"/>
      <c r="J14" s="24">
        <f t="shared" si="4"/>
        <v>24047929.846138589</v>
      </c>
      <c r="K14" s="24">
        <f t="shared" si="1"/>
        <v>11424998.237934489</v>
      </c>
      <c r="L14" s="159">
        <f>'Other Emissions Reduction'!V13</f>
        <v>375796.09682225337</v>
      </c>
      <c r="M14" s="159">
        <f>'Other Emissions Reduction'!W13</f>
        <v>271483.09600716433</v>
      </c>
      <c r="N14" s="179">
        <f>Tree!I30</f>
        <v>304.01054514883441</v>
      </c>
      <c r="O14" s="291">
        <f>BikePed!O24</f>
        <v>532478.51663630246</v>
      </c>
      <c r="P14" s="126">
        <f t="shared" si="3"/>
        <v>12229263.861123106</v>
      </c>
    </row>
    <row r="15" spans="1:16" x14ac:dyDescent="0.3">
      <c r="A15" s="18">
        <f t="shared" si="2"/>
        <v>2031</v>
      </c>
      <c r="B15" s="20">
        <v>12</v>
      </c>
      <c r="C15" s="66">
        <f>' Delay Reduction'!L20</f>
        <v>18420730.224594295</v>
      </c>
      <c r="D15" s="71">
        <f>' Delay Reduction'!M20</f>
        <v>1139436.7600000917</v>
      </c>
      <c r="E15" s="67">
        <f>'Operating Cost Savings'!I14</f>
        <v>1629392.7999992371</v>
      </c>
      <c r="F15" s="68">
        <f>'Safety Summary'!C14</f>
        <v>2646185.8354328414</v>
      </c>
      <c r="G15" s="69">
        <f>'Other Emissions Reduction'!X14</f>
        <v>192232.98141252989</v>
      </c>
      <c r="H15" s="127">
        <f>'Operations and Maintenance'!F15</f>
        <v>-84704.545454545441</v>
      </c>
      <c r="I15" s="125"/>
      <c r="J15" s="24">
        <f t="shared" si="4"/>
        <v>23943274.055984449</v>
      </c>
      <c r="K15" s="24">
        <f t="shared" si="1"/>
        <v>10631100.024235522</v>
      </c>
      <c r="L15" s="159">
        <f>'Other Emissions Reduction'!V14</f>
        <v>380354.12301859166</v>
      </c>
      <c r="M15" s="159">
        <f>'Other Emissions Reduction'!W14</f>
        <v>266772.7292336832</v>
      </c>
      <c r="N15" s="179">
        <f>Tree!I31</f>
        <v>293.01468336364798</v>
      </c>
      <c r="O15" s="291">
        <f>BikePed!O25</f>
        <v>506699.81641380163</v>
      </c>
      <c r="P15" s="126">
        <f t="shared" si="3"/>
        <v>11404865.584566372</v>
      </c>
    </row>
    <row r="16" spans="1:16" x14ac:dyDescent="0.3">
      <c r="A16" s="18">
        <f t="shared" si="2"/>
        <v>2032</v>
      </c>
      <c r="B16" s="20">
        <v>13</v>
      </c>
      <c r="C16" s="66">
        <f>' Delay Reduction'!L21</f>
        <v>18347139.637202848</v>
      </c>
      <c r="D16" s="71">
        <f>' Delay Reduction'!M21</f>
        <v>1151685.9199999541</v>
      </c>
      <c r="E16" s="67">
        <f>'Operating Cost Savings'!I15</f>
        <v>1581045.5999984741</v>
      </c>
      <c r="F16" s="68">
        <f>'Safety Summary'!C15</f>
        <v>2697257.2220566953</v>
      </c>
      <c r="G16" s="69">
        <f>'Other Emissions Reduction'!X15</f>
        <v>147161.44642484287</v>
      </c>
      <c r="H16" s="127">
        <f>'Operations and Maintenance'!F16</f>
        <v>-84704.545454545441</v>
      </c>
      <c r="I16" s="125"/>
      <c r="J16" s="24">
        <f t="shared" si="4"/>
        <v>23839585.280228265</v>
      </c>
      <c r="K16" s="24">
        <f t="shared" si="1"/>
        <v>9892580.3437016308</v>
      </c>
      <c r="L16" s="159">
        <f>'Other Emissions Reduction'!V15</f>
        <v>384860.45355238736</v>
      </c>
      <c r="M16" s="159">
        <f>'Other Emissions Reduction'!W15</f>
        <v>262071.24155688038</v>
      </c>
      <c r="N16" s="179">
        <f>Tree!I32</f>
        <v>282.57755635202807</v>
      </c>
      <c r="O16" s="291">
        <f>BikePed!O26</f>
        <v>482240.88437142363</v>
      </c>
      <c r="P16" s="126">
        <f t="shared" si="3"/>
        <v>10637175.047186287</v>
      </c>
    </row>
    <row r="17" spans="1:16" x14ac:dyDescent="0.3">
      <c r="A17" s="18">
        <f t="shared" si="2"/>
        <v>2033</v>
      </c>
      <c r="B17" s="20">
        <v>14</v>
      </c>
      <c r="C17" s="66">
        <f>' Delay Reduction'!L22</f>
        <v>18273549.0498114</v>
      </c>
      <c r="D17" s="71">
        <f>' Delay Reduction'!M22</f>
        <v>1163935.0800000459</v>
      </c>
      <c r="E17" s="67">
        <f>'Operating Cost Savings'!I16</f>
        <v>1532698.4000015259</v>
      </c>
      <c r="F17" s="68">
        <f>'Safety Summary'!C16</f>
        <v>2749314.2864423892</v>
      </c>
      <c r="G17" s="69">
        <f>'Other Emissions Reduction'!X16</f>
        <v>102089.91143701767</v>
      </c>
      <c r="H17" s="127">
        <f>'Operations and Maintenance'!F17</f>
        <v>383989.45454545459</v>
      </c>
      <c r="I17" s="125"/>
      <c r="J17" s="24">
        <f t="shared" si="4"/>
        <v>24205576.18223783</v>
      </c>
      <c r="K17" s="24">
        <f t="shared" si="1"/>
        <v>9387339.7722301483</v>
      </c>
      <c r="L17" s="159">
        <f>'Other Emissions Reduction'!V16</f>
        <v>389315.08842261479</v>
      </c>
      <c r="M17" s="159">
        <f>'Other Emissions Reduction'!W16</f>
        <v>257383.13703004082</v>
      </c>
      <c r="N17" s="179">
        <f>Tree!I33</f>
        <v>272.66442393349939</v>
      </c>
      <c r="O17" s="291">
        <f>BikePed!O27</f>
        <v>459033.69890583761</v>
      </c>
      <c r="P17" s="126">
        <f t="shared" si="3"/>
        <v>10104029.272589959</v>
      </c>
    </row>
    <row r="18" spans="1:16" x14ac:dyDescent="0.3">
      <c r="A18" s="18">
        <f t="shared" si="2"/>
        <v>2034</v>
      </c>
      <c r="B18" s="20">
        <v>15</v>
      </c>
      <c r="C18" s="66">
        <f>' Delay Reduction'!L23</f>
        <v>18199958.4624057</v>
      </c>
      <c r="D18" s="71">
        <f>' Delay Reduction'!M23</f>
        <v>1176184.2399999083</v>
      </c>
      <c r="E18" s="67">
        <f>'Operating Cost Savings'!I17</f>
        <v>1484351.2000007629</v>
      </c>
      <c r="F18" s="68">
        <f>'Safety Summary'!C17</f>
        <v>2802376.0521707279</v>
      </c>
      <c r="G18" s="69">
        <f>'Other Emissions Reduction'!X17</f>
        <v>57018.376450040647</v>
      </c>
      <c r="H18" s="127">
        <f>'Operations and Maintenance'!F18</f>
        <v>-84704.545454545441</v>
      </c>
      <c r="I18" s="125"/>
      <c r="J18" s="24">
        <f t="shared" si="4"/>
        <v>23635183.785572592</v>
      </c>
      <c r="K18" s="24">
        <f t="shared" si="1"/>
        <v>8566478.2865964249</v>
      </c>
      <c r="L18" s="159">
        <f>'Other Emissions Reduction'!V17</f>
        <v>399775.22805485618</v>
      </c>
      <c r="M18" s="159">
        <f>'Other Emissions Reduction'!W17</f>
        <v>256600.50640025691</v>
      </c>
      <c r="N18" s="179">
        <f>Tree!I34</f>
        <v>265.72368261400624</v>
      </c>
      <c r="O18" s="291">
        <f>BikePed!O28</f>
        <v>437478.06604911806</v>
      </c>
      <c r="P18" s="126">
        <f t="shared" si="3"/>
        <v>9260822.5827284139</v>
      </c>
    </row>
    <row r="19" spans="1:16" x14ac:dyDescent="0.3">
      <c r="A19" s="18">
        <f t="shared" si="2"/>
        <v>2035</v>
      </c>
      <c r="B19" s="20">
        <v>16</v>
      </c>
      <c r="C19" s="66">
        <f>' Delay Reduction'!L24</f>
        <v>18126367.875</v>
      </c>
      <c r="D19" s="71">
        <f>' Delay Reduction'!M24</f>
        <v>1188433.4000000001</v>
      </c>
      <c r="E19" s="67">
        <f>'Operating Cost Savings'!I18</f>
        <v>1436004</v>
      </c>
      <c r="F19" s="68">
        <f>'Safety Summary'!C18</f>
        <v>2856461.9099776237</v>
      </c>
      <c r="G19" s="69">
        <f>'Other Emissions Reduction'!X18</f>
        <v>11946.84146306364</v>
      </c>
      <c r="H19" s="127">
        <f>'Operations and Maintenance'!F19</f>
        <v>-84704.545454545441</v>
      </c>
      <c r="I19" s="125"/>
      <c r="J19" s="24">
        <f t="shared" si="4"/>
        <v>23534509.480986137</v>
      </c>
      <c r="K19" s="24">
        <f t="shared" si="1"/>
        <v>7971952.6033820584</v>
      </c>
      <c r="L19" s="159">
        <f>'Other Emissions Reduction'!V18</f>
        <v>404100.62376743468</v>
      </c>
      <c r="M19" s="159">
        <f>'Other Emissions Reduction'!W18</f>
        <v>251822.14885009127</v>
      </c>
      <c r="N19" s="179">
        <f>Tree!I35</f>
        <v>256.69112113121417</v>
      </c>
      <c r="O19" s="291">
        <f>BikePed!O29</f>
        <v>416577.37828903249</v>
      </c>
      <c r="P19" s="126">
        <f t="shared" si="3"/>
        <v>8640608.8216423132</v>
      </c>
    </row>
    <row r="20" spans="1:16" x14ac:dyDescent="0.3">
      <c r="A20" s="18">
        <f t="shared" si="2"/>
        <v>2036</v>
      </c>
      <c r="B20" s="20">
        <v>17</v>
      </c>
      <c r="C20" s="66">
        <f>' Delay Reduction'!L25</f>
        <v>18052777.287594296</v>
      </c>
      <c r="D20" s="71">
        <f>' Delay Reduction'!M25</f>
        <v>1200682.5600000918</v>
      </c>
      <c r="E20" s="67">
        <f>'Operating Cost Savings'!I19</f>
        <v>1387656.7999992371</v>
      </c>
      <c r="F20" s="68">
        <f>'Safety Summary'!C19</f>
        <v>2911591.624840192</v>
      </c>
      <c r="G20" s="69">
        <f>'Other Emissions Reduction'!X19</f>
        <v>11946.84146306364</v>
      </c>
      <c r="H20" s="127">
        <f>'Operations and Maintenance'!F20</f>
        <v>-84704.545454545441</v>
      </c>
      <c r="I20" s="125"/>
      <c r="J20" s="24">
        <f t="shared" si="4"/>
        <v>23479950.568442333</v>
      </c>
      <c r="K20" s="24">
        <f t="shared" si="1"/>
        <v>7433151.0393320685</v>
      </c>
      <c r="L20" s="159">
        <f>'Other Emissions Reduction'!V19</f>
        <v>408374.32381695363</v>
      </c>
      <c r="M20" s="159">
        <f>'Other Emissions Reduction'!W19</f>
        <v>247073.181969995</v>
      </c>
      <c r="N20" s="179">
        <f>Tree!I36</f>
        <v>248.09365284632594</v>
      </c>
      <c r="O20" s="291">
        <f>BikePed!O30</f>
        <v>396744.77658512851</v>
      </c>
      <c r="P20" s="126">
        <f t="shared" si="3"/>
        <v>8077217.0915400377</v>
      </c>
    </row>
    <row r="21" spans="1:16" x14ac:dyDescent="0.3">
      <c r="A21" s="18">
        <f t="shared" si="2"/>
        <v>2037</v>
      </c>
      <c r="B21" s="20">
        <v>18</v>
      </c>
      <c r="C21" s="66">
        <f>' Delay Reduction'!L26</f>
        <v>17979186.700188592</v>
      </c>
      <c r="D21" s="71">
        <f>' Delay Reduction'!M26</f>
        <v>1212931.7199999541</v>
      </c>
      <c r="E21" s="67">
        <f>'Operating Cost Savings'!I20</f>
        <v>1339309.5999984741</v>
      </c>
      <c r="F21" s="68">
        <f>'Safety Summary'!C20</f>
        <v>2967785.3431996079</v>
      </c>
      <c r="G21" s="69">
        <f>'Other Emissions Reduction'!X20</f>
        <v>11946.84146306364</v>
      </c>
      <c r="H21" s="127">
        <f>'Operations and Maintenance'!F21</f>
        <v>-84704.545454545441</v>
      </c>
      <c r="I21" s="125"/>
      <c r="J21" s="24">
        <f t="shared" si="4"/>
        <v>23426455.659395143</v>
      </c>
      <c r="K21" s="24">
        <f t="shared" si="1"/>
        <v>6931042.9169229167</v>
      </c>
      <c r="L21" s="159">
        <f>'Other Emissions Reduction'!V20</f>
        <v>412596.328203413</v>
      </c>
      <c r="M21" s="159">
        <f>'Other Emissions Reduction'!W20</f>
        <v>242356.85830896278</v>
      </c>
      <c r="N21" s="179">
        <f>Tree!I37</f>
        <v>239.90480607793313</v>
      </c>
      <c r="O21" s="291">
        <f>BikePed!O31</f>
        <v>377925.2048368713</v>
      </c>
      <c r="P21" s="126">
        <f t="shared" si="3"/>
        <v>7551564.8848748282</v>
      </c>
    </row>
    <row r="22" spans="1:16" x14ac:dyDescent="0.3">
      <c r="A22" s="18">
        <f t="shared" si="2"/>
        <v>2038</v>
      </c>
      <c r="B22" s="20">
        <v>19</v>
      </c>
      <c r="C22" s="66">
        <f>' Delay Reduction'!L27</f>
        <v>17905596.112811401</v>
      </c>
      <c r="D22" s="71">
        <f>' Delay Reduction'!M27</f>
        <v>1225180.880000046</v>
      </c>
      <c r="E22" s="67">
        <f>'Operating Cost Savings'!I21</f>
        <v>1290962.4000015259</v>
      </c>
      <c r="F22" s="68">
        <f>'Safety Summary'!C21</f>
        <v>3025063.6003233609</v>
      </c>
      <c r="G22" s="69">
        <f>'Other Emissions Reduction'!X21</f>
        <v>11946.84146306364</v>
      </c>
      <c r="H22" s="127">
        <f>'Operations and Maintenance'!F22</f>
        <v>-84704.545454545441</v>
      </c>
      <c r="I22" s="125"/>
      <c r="J22" s="24">
        <f t="shared" si="4"/>
        <v>23374045.289144851</v>
      </c>
      <c r="K22" s="24">
        <f t="shared" si="1"/>
        <v>6463118.2986213081</v>
      </c>
      <c r="L22" s="159">
        <f>'Other Emissions Reduction'!V21</f>
        <v>416766.63692681282</v>
      </c>
      <c r="M22" s="159">
        <f>'Other Emissions Reduction'!W21</f>
        <v>237676.18948076019</v>
      </c>
      <c r="N22" s="179">
        <f>Tree!I38</f>
        <v>232.09985706658284</v>
      </c>
      <c r="O22" s="291">
        <f>BikePed!O32</f>
        <v>360066.4427548215</v>
      </c>
      <c r="P22" s="126">
        <f t="shared" si="3"/>
        <v>7061093.0307139568</v>
      </c>
    </row>
    <row r="23" spans="1:16" x14ac:dyDescent="0.3">
      <c r="A23" s="18">
        <f t="shared" si="2"/>
        <v>2039</v>
      </c>
      <c r="B23" s="20">
        <v>20</v>
      </c>
      <c r="C23" s="66">
        <f>' Delay Reduction'!L28</f>
        <v>17832005.525405701</v>
      </c>
      <c r="D23" s="71">
        <f>' Delay Reduction'!M28</f>
        <v>1237430.0399999083</v>
      </c>
      <c r="E23" s="67">
        <f>'Operating Cost Savings'!I22</f>
        <v>1242615.2000007629</v>
      </c>
      <c r="F23" s="68">
        <f>'Safety Summary'!C22</f>
        <v>3083447.3278096016</v>
      </c>
      <c r="G23" s="69">
        <f>'Other Emissions Reduction'!X22</f>
        <v>11946.84146306364</v>
      </c>
      <c r="H23" s="127">
        <f>'Operations and Maintenance'!F23</f>
        <v>-84704.545454545441</v>
      </c>
      <c r="I23" s="125"/>
      <c r="J23" s="24">
        <f t="shared" si="4"/>
        <v>23322740.389224492</v>
      </c>
      <c r="K23" s="24">
        <f t="shared" si="1"/>
        <v>6027039.3142701332</v>
      </c>
      <c r="L23" s="159">
        <f>'Other Emissions Reduction'!V22</f>
        <v>420885.24998773576</v>
      </c>
      <c r="M23" s="159">
        <f>'Other Emissions Reduction'!W22</f>
        <v>233033.95821286374</v>
      </c>
      <c r="N23" s="179">
        <f>Tree!I39</f>
        <v>224.65571299495758</v>
      </c>
      <c r="O23" s="291">
        <f>BikePed!O33</f>
        <v>343118.95995775808</v>
      </c>
      <c r="P23" s="126">
        <f t="shared" si="3"/>
        <v>6603416.8881537495</v>
      </c>
    </row>
    <row r="24" spans="1:16" x14ac:dyDescent="0.3">
      <c r="A24" s="18">
        <f t="shared" si="2"/>
        <v>2040</v>
      </c>
      <c r="B24" s="20">
        <v>21</v>
      </c>
      <c r="C24" s="66">
        <f>' Delay Reduction'!L29</f>
        <v>17758414.937999997</v>
      </c>
      <c r="D24" s="71">
        <f>' Delay Reduction'!M29</f>
        <v>1249679.2</v>
      </c>
      <c r="E24" s="67">
        <f>'Operating Cost Savings'!I23</f>
        <v>1194268</v>
      </c>
      <c r="F24" s="68">
        <f>'Safety Summary'!C23</f>
        <v>3142957.8612363273</v>
      </c>
      <c r="G24" s="69">
        <f>'Other Emissions Reduction'!X23</f>
        <v>11946.84146306364</v>
      </c>
      <c r="H24" s="127">
        <f>'Operations and Maintenance'!F24</f>
        <v>-84704.545454545441</v>
      </c>
      <c r="I24" s="125"/>
      <c r="J24" s="24">
        <f t="shared" si="4"/>
        <v>23272562.295244839</v>
      </c>
      <c r="K24" s="24">
        <f t="shared" si="1"/>
        <v>5620628.3563185139</v>
      </c>
      <c r="L24" s="159">
        <f>'Other Emissions Reduction'!V23</f>
        <v>424952.16738502466</v>
      </c>
      <c r="M24" s="159">
        <f>'Other Emissions Reduction'!W23</f>
        <v>228432.72987380699</v>
      </c>
      <c r="N24" s="179">
        <f>Tree!I40</f>
        <v>217.55080280044771</v>
      </c>
      <c r="O24" s="291">
        <f>BikePed!O34</f>
        <v>327035.77757223387</v>
      </c>
      <c r="P24" s="126">
        <f t="shared" si="3"/>
        <v>6176314.414567356</v>
      </c>
    </row>
    <row r="25" spans="1:16" x14ac:dyDescent="0.3">
      <c r="A25" s="18">
        <f t="shared" si="2"/>
        <v>2041</v>
      </c>
      <c r="B25" s="20">
        <v>22</v>
      </c>
      <c r="C25" s="66">
        <f>' Delay Reduction'!L30</f>
        <v>17684824.350594297</v>
      </c>
      <c r="D25" s="71">
        <f>' Delay Reduction'!M30</f>
        <v>1261928.3600000918</v>
      </c>
      <c r="E25" s="67">
        <f>'Operating Cost Savings'!I24</f>
        <v>1145920.7999992371</v>
      </c>
      <c r="F25" s="68">
        <f>'Safety Summary'!C24</f>
        <v>3203616.9479581881</v>
      </c>
      <c r="G25" s="69">
        <f>'Other Emissions Reduction'!X24</f>
        <v>11946.84146306364</v>
      </c>
      <c r="H25" s="127">
        <f>'Operations and Maintenance'!F25</f>
        <v>-84704.545454545441</v>
      </c>
      <c r="I25" s="125"/>
      <c r="J25" s="24">
        <f t="shared" si="4"/>
        <v>23223532.754560333</v>
      </c>
      <c r="K25" s="24">
        <f t="shared" si="1"/>
        <v>5241857.0846787477</v>
      </c>
      <c r="L25" s="159">
        <f>'Other Emissions Reduction'!V24</f>
        <v>428967.38911925408</v>
      </c>
      <c r="M25" s="159">
        <f>'Other Emissions Reduction'!W24</f>
        <v>223874.8635045207</v>
      </c>
      <c r="N25" s="179">
        <f>Tree!I41</f>
        <v>210.76497526444004</v>
      </c>
      <c r="O25" s="291">
        <f>BikePed!O35</f>
        <v>311772.33694887272</v>
      </c>
      <c r="P25" s="126">
        <f t="shared" si="3"/>
        <v>5777715.0501074055</v>
      </c>
    </row>
    <row r="26" spans="1:16" x14ac:dyDescent="0.3">
      <c r="A26" s="18">
        <f t="shared" si="2"/>
        <v>2042</v>
      </c>
      <c r="B26" s="20">
        <v>23</v>
      </c>
      <c r="C26" s="66">
        <f>' Delay Reduction'!L31</f>
        <v>17611233.763188597</v>
      </c>
      <c r="D26" s="71">
        <f>' Delay Reduction'!M31</f>
        <v>1274177.5199999542</v>
      </c>
      <c r="E26" s="67">
        <f>'Operating Cost Savings'!I25</f>
        <v>1097573.5999984741</v>
      </c>
      <c r="F26" s="68">
        <f>'Safety Summary'!C25</f>
        <v>3265446.7550537819</v>
      </c>
      <c r="G26" s="69">
        <f>'Other Emissions Reduction'!X25</f>
        <v>11946.84146306364</v>
      </c>
      <c r="H26" s="127">
        <f>'Operations and Maintenance'!F26</f>
        <v>-84704.545454545441</v>
      </c>
      <c r="I26" s="125"/>
      <c r="J26" s="24">
        <f t="shared" si="4"/>
        <v>23175673.934249323</v>
      </c>
      <c r="K26" s="24">
        <f t="shared" si="1"/>
        <v>4888836.1858547647</v>
      </c>
      <c r="L26" s="159">
        <f>'Other Emissions Reduction'!V25</f>
        <v>438781.33296388295</v>
      </c>
      <c r="M26" s="159">
        <f>'Other Emissions Reduction'!W25</f>
        <v>222326.88077778186</v>
      </c>
      <c r="N26" s="179">
        <f>Tree!I42</f>
        <v>206.23779660460417</v>
      </c>
      <c r="O26" s="291">
        <f>BikePed!O36</f>
        <v>297699.28224370652</v>
      </c>
      <c r="P26" s="126">
        <f t="shared" si="3"/>
        <v>5409068.5866728574</v>
      </c>
    </row>
    <row r="27" spans="1:16" x14ac:dyDescent="0.3">
      <c r="A27" s="18">
        <f t="shared" si="2"/>
        <v>2043</v>
      </c>
      <c r="B27" s="20">
        <v>24</v>
      </c>
      <c r="C27" s="66">
        <f>' Delay Reduction'!L32</f>
        <v>17537643.175811399</v>
      </c>
      <c r="D27" s="71">
        <f>' Delay Reduction'!M32</f>
        <v>1286426.680000046</v>
      </c>
      <c r="E27" s="67">
        <f>'Operating Cost Savings'!I26</f>
        <v>1049226.4000015259</v>
      </c>
      <c r="F27" s="68">
        <f>'Safety Summary'!C26</f>
        <v>3328469.8774263207</v>
      </c>
      <c r="G27" s="69">
        <f>'Other Emissions Reduction'!X26</f>
        <v>11946.84146306364</v>
      </c>
      <c r="H27" s="127">
        <f>'Operations and Maintenance'!F27</f>
        <v>-177610.54545454544</v>
      </c>
      <c r="I27" s="125"/>
      <c r="J27" s="24">
        <f t="shared" si="4"/>
        <v>23036102.429247808</v>
      </c>
      <c r="K27" s="24">
        <f t="shared" si="1"/>
        <v>4541489.7307204623</v>
      </c>
      <c r="L27" s="159">
        <f>'Other Emissions Reduction'!V26</f>
        <v>442667.31554047158</v>
      </c>
      <c r="M27" s="159">
        <f>'Other Emissions Reduction'!W26</f>
        <v>217762.98648920478</v>
      </c>
      <c r="N27" s="179">
        <f>Tree!I43</f>
        <v>199.97785030787355</v>
      </c>
      <c r="O27" s="291">
        <f>BikePed!O37</f>
        <v>283944.70062212349</v>
      </c>
      <c r="P27" s="126">
        <f t="shared" si="3"/>
        <v>5043397.3956820983</v>
      </c>
    </row>
    <row r="28" spans="1:16" x14ac:dyDescent="0.3">
      <c r="A28" s="18">
        <f t="shared" si="2"/>
        <v>2044</v>
      </c>
      <c r="B28" s="20">
        <v>25</v>
      </c>
      <c r="C28" s="66">
        <f>' Delay Reduction'!L33</f>
        <v>17464052.588405699</v>
      </c>
      <c r="D28" s="71">
        <f>' Delay Reduction'!M33</f>
        <v>1298675.8399999083</v>
      </c>
      <c r="E28" s="67">
        <f>'Operating Cost Savings'!I27</f>
        <v>1000879.2000007629</v>
      </c>
      <c r="F28" s="68">
        <f>'Safety Summary'!C27</f>
        <v>3392709.3460606486</v>
      </c>
      <c r="G28" s="69">
        <f>'Other Emissions Reduction'!X27</f>
        <v>11946.84146306364</v>
      </c>
      <c r="H28" s="127">
        <f>'Operations and Maintenance'!F28</f>
        <v>-84704.545454545441</v>
      </c>
      <c r="I28" s="125"/>
      <c r="J28" s="24">
        <f t="shared" si="4"/>
        <v>23083559.270475533</v>
      </c>
      <c r="K28" s="24">
        <f t="shared" ref="K28" si="5">J28/((1.07)^B28)</f>
        <v>4253126.8098709853</v>
      </c>
      <c r="L28" s="159">
        <f>'Other Emissions Reduction'!V27</f>
        <v>446501.60245400073</v>
      </c>
      <c r="M28" s="159">
        <f>'Other Emissions Reduction'!W27</f>
        <v>213251.65201628627</v>
      </c>
      <c r="N28" s="179">
        <f>Tree!I44</f>
        <v>193.98579360101436</v>
      </c>
      <c r="O28" s="291">
        <f>BikePed!O38</f>
        <v>270889.58009166719</v>
      </c>
      <c r="P28" s="126">
        <f t="shared" si="3"/>
        <v>4737462.0277725402</v>
      </c>
    </row>
    <row r="29" spans="1:16" x14ac:dyDescent="0.3">
      <c r="A29" s="18">
        <f t="shared" si="2"/>
        <v>2045</v>
      </c>
      <c r="B29" s="20">
        <v>26</v>
      </c>
      <c r="C29" s="66">
        <f>' Delay Reduction'!L34</f>
        <v>17390462.000999998</v>
      </c>
      <c r="D29" s="71">
        <f>' Delay Reduction'!M34</f>
        <v>1310925</v>
      </c>
      <c r="E29" s="67">
        <f>'Operating Cost Savings'!I28</f>
        <v>952532</v>
      </c>
      <c r="F29" s="68">
        <f>'Safety Summary'!C28</f>
        <v>3458188.6364396196</v>
      </c>
      <c r="G29" s="69">
        <f>'Other Emissions Reduction'!X28</f>
        <v>11946.84146306364</v>
      </c>
      <c r="H29" s="127">
        <f>'Operations and Maintenance'!F29</f>
        <v>-84704.545454545441</v>
      </c>
      <c r="I29" s="125"/>
      <c r="J29" s="24">
        <f t="shared" si="4"/>
        <v>23039349.933448132</v>
      </c>
      <c r="K29" s="24">
        <f t="shared" ref="K29" si="6">J29/((1.07)^B29)</f>
        <v>3967272.2204531627</v>
      </c>
      <c r="L29" s="159">
        <f>'Other Emissions Reduction'!V28</f>
        <v>450284.19370383018</v>
      </c>
      <c r="M29" s="159">
        <f>'Other Emissions Reduction'!W28</f>
        <v>208794.40646936427</v>
      </c>
      <c r="N29" s="179">
        <f>Tree!I45</f>
        <v>188.24621647079044</v>
      </c>
      <c r="O29" s="291">
        <f>BikePed!O39</f>
        <v>258497.85870474146</v>
      </c>
      <c r="P29" s="126">
        <f t="shared" si="3"/>
        <v>4434752.7318437388</v>
      </c>
    </row>
    <row r="30" spans="1:16" x14ac:dyDescent="0.3">
      <c r="A30" s="18">
        <f t="shared" si="2"/>
        <v>2046</v>
      </c>
      <c r="B30" s="20">
        <v>27</v>
      </c>
      <c r="C30" s="66">
        <f>' Delay Reduction'!L35</f>
        <v>17316871.413594294</v>
      </c>
      <c r="D30" s="71">
        <f>' Delay Reduction'!M35</f>
        <v>1323174.1600000919</v>
      </c>
      <c r="E30" s="67">
        <f>'Operating Cost Savings'!I29</f>
        <v>904184.79999923706</v>
      </c>
      <c r="F30" s="68">
        <f>'Safety Summary'!C29</f>
        <v>3524931.6771229045</v>
      </c>
      <c r="G30" s="69">
        <f>'Other Emissions Reduction'!X29</f>
        <v>11946.84146306364</v>
      </c>
      <c r="H30" s="127">
        <f>'Operations and Maintenance'!F30</f>
        <v>-84704.545454545441</v>
      </c>
      <c r="I30" s="125"/>
      <c r="J30" s="24">
        <f t="shared" si="4"/>
        <v>22996404.346725047</v>
      </c>
      <c r="K30" s="24">
        <f t="shared" ref="K30" si="7">J30/((1.07)^B30)</f>
        <v>3700819.7981072096</v>
      </c>
      <c r="L30" s="159">
        <f>'Other Emissions Reduction'!V29</f>
        <v>454015.08929188031</v>
      </c>
      <c r="M30" s="159">
        <f>'Other Emissions Reduction'!W29</f>
        <v>204392.6243516182</v>
      </c>
      <c r="N30" s="179">
        <f>Tree!I46</f>
        <v>182.74471396220326</v>
      </c>
      <c r="O30" s="291">
        <f>BikePed!O40</f>
        <v>246735.33292205803</v>
      </c>
      <c r="P30" s="126">
        <f t="shared" si="3"/>
        <v>4152130.5000948482</v>
      </c>
    </row>
    <row r="31" spans="1:16" x14ac:dyDescent="0.3">
      <c r="A31" s="21"/>
      <c r="B31" s="21"/>
      <c r="C31" s="25">
        <f t="shared" ref="C31:H31" si="8">SUM(C3:C30)</f>
        <v>379108323.03960848</v>
      </c>
      <c r="D31" s="25">
        <f t="shared" si="8"/>
        <v>25214333.760000095</v>
      </c>
      <c r="E31" s="25">
        <f t="shared" si="8"/>
        <v>29140792.799999237</v>
      </c>
      <c r="F31" s="25">
        <f t="shared" si="8"/>
        <v>61553874.569689773</v>
      </c>
      <c r="G31" s="25">
        <f t="shared" si="8"/>
        <v>2229248.8551566792</v>
      </c>
      <c r="H31" s="25">
        <f t="shared" si="8"/>
        <v>26212301.295454517</v>
      </c>
      <c r="I31" s="25"/>
      <c r="J31" s="25">
        <f>SUM(J3:J30)</f>
        <v>533458874.3199088</v>
      </c>
      <c r="K31" s="25">
        <f>SUM(K3:K30)</f>
        <v>199107374.05948019</v>
      </c>
      <c r="L31" s="25">
        <f t="shared" ref="L31:M31" si="9">SUM(L3:L30)</f>
        <v>8535563.4550948925</v>
      </c>
      <c r="M31" s="25">
        <f t="shared" si="9"/>
        <v>5178147.0982169528</v>
      </c>
      <c r="N31" s="25">
        <f>SUM(N3:N30)</f>
        <v>5357.4788697738431</v>
      </c>
      <c r="O31" s="290">
        <f>SUM(O3:O30)</f>
        <v>8724072.9401912373</v>
      </c>
      <c r="P31" s="126">
        <f t="shared" si="3"/>
        <v>213014951.57675815</v>
      </c>
    </row>
    <row r="32" spans="1:16" x14ac:dyDescent="0.3">
      <c r="A32" s="26" t="s">
        <v>163</v>
      </c>
      <c r="B32" s="23"/>
      <c r="C32" s="25"/>
      <c r="D32" s="25"/>
      <c r="E32" s="25"/>
      <c r="F32" s="25"/>
      <c r="G32" s="25"/>
      <c r="H32" s="25"/>
      <c r="I32" s="25">
        <f>I10/(1.07^B10)</f>
        <v>6227497.4188459115</v>
      </c>
      <c r="K32" s="47"/>
      <c r="L32" s="44"/>
      <c r="M32" s="44"/>
      <c r="N32" s="44"/>
      <c r="O32" s="290"/>
    </row>
    <row r="33" spans="1:12" x14ac:dyDescent="0.3">
      <c r="C33" s="2"/>
      <c r="J33"/>
      <c r="K33"/>
    </row>
    <row r="34" spans="1:12" ht="17.5" x14ac:dyDescent="0.35">
      <c r="A34" s="340" t="s">
        <v>3</v>
      </c>
      <c r="B34" s="340"/>
      <c r="C34" s="340"/>
      <c r="D34" s="340"/>
      <c r="E34" s="49"/>
      <c r="F34" s="49"/>
      <c r="G34" s="49"/>
      <c r="H34" s="49"/>
      <c r="I34" s="49"/>
      <c r="J34" s="50"/>
      <c r="K34" s="49"/>
      <c r="L34" s="49"/>
    </row>
    <row r="35" spans="1:12" x14ac:dyDescent="0.3">
      <c r="A35" s="128" t="s">
        <v>0</v>
      </c>
      <c r="B35" s="128" t="s">
        <v>4</v>
      </c>
      <c r="C35" s="128" t="s">
        <v>18</v>
      </c>
      <c r="D35" s="129" t="s">
        <v>57</v>
      </c>
      <c r="E35" s="51"/>
      <c r="F35" s="51"/>
      <c r="G35"/>
      <c r="H35"/>
      <c r="I35"/>
      <c r="J35"/>
      <c r="K35"/>
    </row>
    <row r="36" spans="1:12" x14ac:dyDescent="0.3">
      <c r="A36" s="18">
        <v>2019</v>
      </c>
      <c r="B36" s="20">
        <v>0</v>
      </c>
      <c r="C36" s="131">
        <f>'Previous Costs'!F20</f>
        <v>15791550</v>
      </c>
      <c r="D36" s="48">
        <f t="shared" ref="D36:D43" si="10">C36/((1.07)^B36)</f>
        <v>15791550</v>
      </c>
      <c r="E36" s="52"/>
      <c r="F36" s="52"/>
      <c r="G36"/>
      <c r="H36"/>
      <c r="I36"/>
      <c r="J36"/>
      <c r="K36"/>
    </row>
    <row r="37" spans="1:12" x14ac:dyDescent="0.3">
      <c r="A37" s="18">
        <f>A36+1</f>
        <v>2020</v>
      </c>
      <c r="B37" s="20">
        <v>1</v>
      </c>
      <c r="C37" s="131">
        <f>'Previous Costs'!B21</f>
        <v>2260000</v>
      </c>
      <c r="D37" s="48">
        <f t="shared" si="10"/>
        <v>2112149.5327102803</v>
      </c>
      <c r="E37" s="53"/>
      <c r="F37" s="53"/>
      <c r="H37"/>
      <c r="I37"/>
      <c r="J37"/>
      <c r="K37"/>
    </row>
    <row r="38" spans="1:12" x14ac:dyDescent="0.3">
      <c r="A38" s="18">
        <f t="shared" ref="A38:A42" si="11">A37+1</f>
        <v>2021</v>
      </c>
      <c r="B38" s="20">
        <v>2</v>
      </c>
      <c r="C38" s="131">
        <f>'Previous Costs'!B22</f>
        <v>2000000</v>
      </c>
      <c r="D38" s="48">
        <f t="shared" si="10"/>
        <v>1746877.4565464233</v>
      </c>
      <c r="E38" s="53"/>
      <c r="F38" s="53"/>
      <c r="H38"/>
      <c r="I38"/>
      <c r="J38"/>
      <c r="K38"/>
    </row>
    <row r="39" spans="1:12" x14ac:dyDescent="0.3">
      <c r="A39" s="18">
        <f t="shared" si="11"/>
        <v>2022</v>
      </c>
      <c r="B39" s="20">
        <v>3</v>
      </c>
      <c r="C39" s="131">
        <f>'Previous Costs'!B23</f>
        <v>2000000</v>
      </c>
      <c r="D39" s="48">
        <f t="shared" si="10"/>
        <v>1632595.7537817038</v>
      </c>
      <c r="E39" s="53"/>
      <c r="F39" s="53"/>
      <c r="H39"/>
      <c r="I39"/>
      <c r="J39"/>
      <c r="K39"/>
    </row>
    <row r="40" spans="1:12" x14ac:dyDescent="0.3">
      <c r="A40" s="18">
        <f t="shared" si="11"/>
        <v>2023</v>
      </c>
      <c r="B40" s="20">
        <v>4</v>
      </c>
      <c r="C40" s="132">
        <f>'Future Project Costs'!C6</f>
        <v>61800000</v>
      </c>
      <c r="D40" s="48">
        <f t="shared" si="10"/>
        <v>47146924.104537062</v>
      </c>
      <c r="E40" s="22"/>
      <c r="F40" s="22"/>
      <c r="H40"/>
      <c r="I40"/>
      <c r="J40"/>
      <c r="K40"/>
    </row>
    <row r="41" spans="1:12" x14ac:dyDescent="0.3">
      <c r="A41" s="18">
        <f t="shared" si="11"/>
        <v>2024</v>
      </c>
      <c r="B41" s="20">
        <v>5</v>
      </c>
      <c r="C41" s="132">
        <f>'Future Project Costs'!C7</f>
        <v>74160000</v>
      </c>
      <c r="D41" s="48">
        <f t="shared" si="10"/>
        <v>52875055.070508845</v>
      </c>
      <c r="E41" s="22"/>
      <c r="F41" s="22"/>
      <c r="H41"/>
      <c r="I41"/>
      <c r="J41"/>
      <c r="K41"/>
    </row>
    <row r="42" spans="1:12" x14ac:dyDescent="0.3">
      <c r="A42" s="18">
        <f t="shared" si="11"/>
        <v>2025</v>
      </c>
      <c r="B42" s="20">
        <v>6</v>
      </c>
      <c r="C42" s="132">
        <f>'Future Project Costs'!C8</f>
        <v>74160000</v>
      </c>
      <c r="D42" s="48">
        <f t="shared" si="10"/>
        <v>49415939.318232566</v>
      </c>
      <c r="E42" s="22"/>
      <c r="F42" s="22"/>
      <c r="H42"/>
      <c r="I42"/>
      <c r="J42"/>
      <c r="K42"/>
    </row>
    <row r="43" spans="1:12" x14ac:dyDescent="0.3">
      <c r="A43" s="18">
        <v>2026</v>
      </c>
      <c r="B43" s="20">
        <v>7</v>
      </c>
      <c r="C43" s="132">
        <f>'Future Project Costs'!C9</f>
        <v>37080000</v>
      </c>
      <c r="D43" s="48">
        <f t="shared" si="10"/>
        <v>23091560.429080639</v>
      </c>
      <c r="E43" s="22"/>
      <c r="F43" s="22"/>
      <c r="H43"/>
      <c r="I43"/>
      <c r="J43"/>
      <c r="K43"/>
    </row>
    <row r="44" spans="1:12" x14ac:dyDescent="0.3">
      <c r="C44" s="70">
        <f>SUM(C36:C43)</f>
        <v>269251550</v>
      </c>
      <c r="G44" s="22"/>
      <c r="H44" s="22"/>
      <c r="I44" s="22"/>
      <c r="K44"/>
    </row>
    <row r="45" spans="1:12" x14ac:dyDescent="0.3">
      <c r="C45" s="47" t="s">
        <v>15</v>
      </c>
      <c r="D45" s="54">
        <f>SUM(D36:D43)</f>
        <v>193812651.66539752</v>
      </c>
      <c r="G45" s="47"/>
      <c r="H45" s="47"/>
      <c r="I45" s="47"/>
      <c r="K45"/>
    </row>
    <row r="47" spans="1:12" ht="15" x14ac:dyDescent="0.3">
      <c r="C47" s="341" t="s">
        <v>8</v>
      </c>
      <c r="D47" s="341"/>
      <c r="J47"/>
      <c r="K47"/>
    </row>
    <row r="48" spans="1:12" x14ac:dyDescent="0.3">
      <c r="C48" s="118"/>
      <c r="D48" s="136" t="s">
        <v>14</v>
      </c>
      <c r="E48" s="117"/>
      <c r="F48" s="117"/>
    </row>
    <row r="49" spans="1:6" x14ac:dyDescent="0.3">
      <c r="C49" s="133" t="s">
        <v>30</v>
      </c>
      <c r="D49" s="130">
        <f>P31</f>
        <v>213014951.57675815</v>
      </c>
      <c r="E49" s="53"/>
      <c r="F49" s="53"/>
    </row>
    <row r="50" spans="1:6" x14ac:dyDescent="0.3">
      <c r="C50" s="133" t="s">
        <v>31</v>
      </c>
      <c r="D50" s="130">
        <f>D45</f>
        <v>193812651.66539752</v>
      </c>
      <c r="E50" s="53"/>
      <c r="F50" s="53"/>
    </row>
    <row r="51" spans="1:6" x14ac:dyDescent="0.3">
      <c r="C51" s="133" t="s">
        <v>54</v>
      </c>
      <c r="D51" s="130">
        <f>D49-D50</f>
        <v>19202299.911360621</v>
      </c>
      <c r="E51" s="53"/>
      <c r="F51" s="53"/>
    </row>
    <row r="52" spans="1:6" x14ac:dyDescent="0.3">
      <c r="C52" s="134" t="s">
        <v>55</v>
      </c>
      <c r="D52" s="135">
        <f>D49/D50</f>
        <v>1.0990766069519131</v>
      </c>
      <c r="E52" s="22"/>
      <c r="F52" s="22"/>
    </row>
    <row r="55" spans="1:6" x14ac:dyDescent="0.3">
      <c r="A55" t="s">
        <v>52</v>
      </c>
    </row>
    <row r="56" spans="1:6" x14ac:dyDescent="0.3">
      <c r="A56" t="s">
        <v>53</v>
      </c>
    </row>
    <row r="57" spans="1:6" x14ac:dyDescent="0.3">
      <c r="A57" t="s">
        <v>81</v>
      </c>
    </row>
  </sheetData>
  <mergeCells count="3">
    <mergeCell ref="A34:D34"/>
    <mergeCell ref="C47:D47"/>
    <mergeCell ref="A1:P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D84-059A-4A76-9445-98E0152C9488}">
  <sheetPr>
    <tabColor theme="6" tint="0.79998168889431442"/>
  </sheetPr>
  <dimension ref="A1:J47"/>
  <sheetViews>
    <sheetView workbookViewId="0">
      <selection sqref="A1:I1"/>
    </sheetView>
  </sheetViews>
  <sheetFormatPr defaultRowHeight="13.5" x14ac:dyDescent="0.3"/>
  <cols>
    <col min="3" max="3" width="25.53515625" bestFit="1" customWidth="1"/>
    <col min="4" max="4" width="0" hidden="1" customWidth="1"/>
    <col min="5" max="5" width="17.4609375" hidden="1" customWidth="1"/>
    <col min="6" max="6" width="12.23046875" hidden="1" customWidth="1"/>
    <col min="7" max="7" width="10" customWidth="1"/>
    <col min="8" max="8" width="14.15234375" customWidth="1"/>
    <col min="9" max="9" width="11.61328125" customWidth="1"/>
    <col min="10" max="10" width="11.3828125" customWidth="1"/>
  </cols>
  <sheetData>
    <row r="1" spans="1:10" ht="15" x14ac:dyDescent="0.3">
      <c r="A1" s="355" t="s">
        <v>152</v>
      </c>
      <c r="B1" s="355"/>
      <c r="C1" s="355"/>
      <c r="D1" s="355"/>
      <c r="E1" s="355"/>
      <c r="F1" s="355"/>
      <c r="G1" s="355"/>
      <c r="H1" s="355"/>
      <c r="I1" s="355"/>
    </row>
    <row r="2" spans="1:10" x14ac:dyDescent="0.3">
      <c r="A2" s="177"/>
      <c r="B2" s="177"/>
      <c r="C2" s="177"/>
      <c r="D2" s="356" t="s">
        <v>153</v>
      </c>
      <c r="E2" s="356"/>
      <c r="F2" s="356"/>
      <c r="G2" s="357" t="s">
        <v>154</v>
      </c>
      <c r="H2" s="358"/>
      <c r="I2" s="358"/>
      <c r="J2" s="358"/>
    </row>
    <row r="3" spans="1:10" s="120" customFormat="1" ht="40.5" x14ac:dyDescent="0.3">
      <c r="A3" s="113" t="s">
        <v>133</v>
      </c>
      <c r="B3" s="113" t="s">
        <v>135</v>
      </c>
      <c r="C3" s="113" t="s">
        <v>134</v>
      </c>
      <c r="D3" s="180" t="s">
        <v>160</v>
      </c>
      <c r="E3" s="180" t="s">
        <v>161</v>
      </c>
      <c r="F3" s="180" t="s">
        <v>162</v>
      </c>
      <c r="G3" s="113" t="s">
        <v>143</v>
      </c>
      <c r="H3" s="113" t="s">
        <v>142</v>
      </c>
      <c r="I3" s="113" t="s">
        <v>146</v>
      </c>
      <c r="J3" s="113" t="s">
        <v>175</v>
      </c>
    </row>
    <row r="4" spans="1:10" x14ac:dyDescent="0.3">
      <c r="A4" s="1">
        <v>29</v>
      </c>
      <c r="B4" s="1">
        <v>4</v>
      </c>
      <c r="C4" s="1" t="s">
        <v>136</v>
      </c>
      <c r="D4" s="1">
        <v>103</v>
      </c>
      <c r="E4" s="1">
        <v>146</v>
      </c>
      <c r="F4" s="24">
        <v>3.96</v>
      </c>
      <c r="G4" s="126">
        <f>F4*A4</f>
        <v>114.84</v>
      </c>
      <c r="H4" s="198">
        <f>D4*A4</f>
        <v>2987</v>
      </c>
      <c r="I4" s="1">
        <f t="shared" ref="I4:I9" si="0">H4*$B$15</f>
        <v>1.354879304</v>
      </c>
      <c r="J4" s="198">
        <f>E4*A4</f>
        <v>4234</v>
      </c>
    </row>
    <row r="5" spans="1:10" x14ac:dyDescent="0.3">
      <c r="A5" s="1">
        <v>15</v>
      </c>
      <c r="B5" s="1">
        <v>4</v>
      </c>
      <c r="C5" s="1" t="s">
        <v>137</v>
      </c>
      <c r="D5" s="1">
        <v>44</v>
      </c>
      <c r="E5" s="1">
        <v>69</v>
      </c>
      <c r="F5" s="24">
        <v>1.88</v>
      </c>
      <c r="G5" s="126">
        <f t="shared" ref="G5:G9" si="1">F5*A5</f>
        <v>28.2</v>
      </c>
      <c r="H5" s="198">
        <f t="shared" ref="H5:H9" si="2">D5*A5</f>
        <v>660</v>
      </c>
      <c r="I5" s="1">
        <f t="shared" si="0"/>
        <v>0.29937071999999998</v>
      </c>
      <c r="J5" s="198">
        <f t="shared" ref="J5:J9" si="3">E5*A5</f>
        <v>1035</v>
      </c>
    </row>
    <row r="6" spans="1:10" x14ac:dyDescent="0.3">
      <c r="A6" s="1">
        <v>20</v>
      </c>
      <c r="B6" s="1">
        <v>4</v>
      </c>
      <c r="C6" s="1" t="s">
        <v>138</v>
      </c>
      <c r="D6" s="1">
        <v>135</v>
      </c>
      <c r="E6" s="1">
        <v>138</v>
      </c>
      <c r="F6" s="24">
        <v>3.73</v>
      </c>
      <c r="G6" s="126">
        <f t="shared" si="1"/>
        <v>74.599999999999994</v>
      </c>
      <c r="H6" s="198">
        <f t="shared" si="2"/>
        <v>2700</v>
      </c>
      <c r="I6" s="1">
        <f t="shared" si="0"/>
        <v>1.2246984000000001</v>
      </c>
      <c r="J6" s="198">
        <f t="shared" si="3"/>
        <v>2760</v>
      </c>
    </row>
    <row r="7" spans="1:10" x14ac:dyDescent="0.3">
      <c r="A7" s="1">
        <v>21</v>
      </c>
      <c r="B7" s="1">
        <v>3</v>
      </c>
      <c r="C7" s="1" t="s">
        <v>139</v>
      </c>
      <c r="D7" s="1">
        <v>86</v>
      </c>
      <c r="E7" s="1">
        <v>87</v>
      </c>
      <c r="F7" s="24">
        <v>2.37</v>
      </c>
      <c r="G7" s="126">
        <f t="shared" si="1"/>
        <v>49.77</v>
      </c>
      <c r="H7" s="198">
        <f t="shared" si="2"/>
        <v>1806</v>
      </c>
      <c r="I7" s="1">
        <f t="shared" si="0"/>
        <v>0.81918715200000003</v>
      </c>
      <c r="J7" s="198">
        <f t="shared" si="3"/>
        <v>1827</v>
      </c>
    </row>
    <row r="8" spans="1:10" x14ac:dyDescent="0.3">
      <c r="A8" s="1">
        <v>3</v>
      </c>
      <c r="B8" s="1">
        <v>3</v>
      </c>
      <c r="C8" s="1" t="s">
        <v>140</v>
      </c>
      <c r="D8" s="1">
        <v>54</v>
      </c>
      <c r="E8" s="1">
        <v>74</v>
      </c>
      <c r="F8" s="24">
        <v>2.02</v>
      </c>
      <c r="G8" s="126">
        <f t="shared" si="1"/>
        <v>6.0600000000000005</v>
      </c>
      <c r="H8" s="198">
        <f t="shared" si="2"/>
        <v>162</v>
      </c>
      <c r="I8" s="1">
        <f t="shared" si="0"/>
        <v>7.3481904000000001E-2</v>
      </c>
      <c r="J8" s="198">
        <f t="shared" si="3"/>
        <v>222</v>
      </c>
    </row>
    <row r="9" spans="1:10" x14ac:dyDescent="0.3">
      <c r="A9" s="1">
        <v>2</v>
      </c>
      <c r="B9" s="1">
        <v>4</v>
      </c>
      <c r="C9" s="1" t="s">
        <v>141</v>
      </c>
      <c r="D9" s="1">
        <v>103</v>
      </c>
      <c r="E9" s="1">
        <v>146</v>
      </c>
      <c r="F9" s="24">
        <v>3.96</v>
      </c>
      <c r="G9" s="126">
        <f t="shared" si="1"/>
        <v>7.92</v>
      </c>
      <c r="H9" s="198">
        <f t="shared" si="2"/>
        <v>206</v>
      </c>
      <c r="I9" s="1">
        <f t="shared" si="0"/>
        <v>9.3439952000000007E-2</v>
      </c>
      <c r="J9" s="198">
        <f t="shared" si="3"/>
        <v>292</v>
      </c>
    </row>
    <row r="10" spans="1:10" x14ac:dyDescent="0.3">
      <c r="G10" s="174">
        <f>SUM(G4:G9)</f>
        <v>281.39</v>
      </c>
      <c r="H10" s="200">
        <f>SUM(H4:H9)</f>
        <v>8521</v>
      </c>
      <c r="I10">
        <f>SUM(I4:I9)</f>
        <v>3.865057432</v>
      </c>
      <c r="J10" s="199">
        <f>SUM(J4:J9)</f>
        <v>10370</v>
      </c>
    </row>
    <row r="11" spans="1:10" x14ac:dyDescent="0.3">
      <c r="A11" s="26" t="s">
        <v>159</v>
      </c>
      <c r="G11" s="174"/>
    </row>
    <row r="13" spans="1:10" x14ac:dyDescent="0.3">
      <c r="A13" s="178" t="s">
        <v>155</v>
      </c>
    </row>
    <row r="14" spans="1:10" x14ac:dyDescent="0.3">
      <c r="A14" s="1" t="s">
        <v>144</v>
      </c>
      <c r="B14" s="1" t="s">
        <v>145</v>
      </c>
    </row>
    <row r="15" spans="1:10" x14ac:dyDescent="0.3">
      <c r="A15" s="1">
        <v>1</v>
      </c>
      <c r="B15" s="1">
        <v>4.53592E-4</v>
      </c>
    </row>
    <row r="18" spans="1:9" ht="67.5" x14ac:dyDescent="0.3">
      <c r="A18" s="42" t="s">
        <v>0</v>
      </c>
      <c r="B18" s="42" t="s">
        <v>4</v>
      </c>
      <c r="C18" s="42" t="s">
        <v>147</v>
      </c>
      <c r="D18" s="42" t="s">
        <v>98</v>
      </c>
      <c r="E18" s="43" t="s">
        <v>59</v>
      </c>
      <c r="F18" s="43" t="s">
        <v>76</v>
      </c>
      <c r="G18" s="175" t="s">
        <v>148</v>
      </c>
      <c r="H18" s="43" t="s">
        <v>149</v>
      </c>
      <c r="I18" s="176" t="s">
        <v>150</v>
      </c>
    </row>
    <row r="19" spans="1:9" x14ac:dyDescent="0.3">
      <c r="A19" s="18">
        <v>2019</v>
      </c>
      <c r="B19" s="20">
        <v>0</v>
      </c>
    </row>
    <row r="20" spans="1:9" x14ac:dyDescent="0.3">
      <c r="A20" s="18">
        <f>A19+1</f>
        <v>2020</v>
      </c>
      <c r="B20" s="20">
        <v>1</v>
      </c>
      <c r="D20" s="173"/>
      <c r="E20" s="174"/>
      <c r="F20" s="173"/>
      <c r="G20" s="174"/>
      <c r="H20" s="173"/>
      <c r="I20" s="174"/>
    </row>
    <row r="21" spans="1:9" x14ac:dyDescent="0.3">
      <c r="A21" s="18">
        <f t="shared" ref="A21:A46" si="4">A20+1</f>
        <v>2021</v>
      </c>
      <c r="B21" s="20">
        <v>2</v>
      </c>
      <c r="D21" s="173"/>
      <c r="E21" s="174"/>
      <c r="F21" s="173"/>
      <c r="G21" s="174"/>
      <c r="H21" s="173"/>
      <c r="I21" s="174"/>
    </row>
    <row r="22" spans="1:9" x14ac:dyDescent="0.3">
      <c r="A22" s="18">
        <f t="shared" si="4"/>
        <v>2022</v>
      </c>
      <c r="B22" s="20">
        <v>3</v>
      </c>
      <c r="D22" s="173"/>
      <c r="E22" s="174"/>
      <c r="F22" s="173"/>
      <c r="G22" s="174"/>
      <c r="H22" s="173"/>
      <c r="I22" s="174"/>
    </row>
    <row r="23" spans="1:9" x14ac:dyDescent="0.3">
      <c r="A23" s="18">
        <f t="shared" si="4"/>
        <v>2023</v>
      </c>
      <c r="B23" s="20">
        <v>4</v>
      </c>
      <c r="D23" s="173"/>
      <c r="E23" s="174"/>
      <c r="F23" s="173"/>
      <c r="G23" s="174"/>
      <c r="H23" s="173"/>
      <c r="I23" s="174"/>
    </row>
    <row r="24" spans="1:9" x14ac:dyDescent="0.3">
      <c r="A24" s="18">
        <f t="shared" si="4"/>
        <v>2024</v>
      </c>
      <c r="B24" s="20">
        <v>5</v>
      </c>
      <c r="D24" s="173"/>
      <c r="E24" s="174"/>
      <c r="F24" s="173"/>
      <c r="G24" s="174"/>
      <c r="H24" s="173"/>
      <c r="I24" s="174"/>
    </row>
    <row r="25" spans="1:9" x14ac:dyDescent="0.3">
      <c r="A25" s="18">
        <f t="shared" si="4"/>
        <v>2025</v>
      </c>
      <c r="B25" s="20">
        <v>6</v>
      </c>
      <c r="D25" s="173"/>
      <c r="E25" s="174"/>
      <c r="F25" s="173"/>
      <c r="G25" s="174"/>
      <c r="H25" s="173"/>
      <c r="I25" s="174"/>
    </row>
    <row r="26" spans="1:9" x14ac:dyDescent="0.3">
      <c r="A26" s="18">
        <f t="shared" si="4"/>
        <v>2026</v>
      </c>
      <c r="B26" s="20">
        <v>7</v>
      </c>
      <c r="C26">
        <f t="shared" ref="C26:C46" si="5">$I$10</f>
        <v>3.865057432</v>
      </c>
      <c r="D26" s="173">
        <f>'Monitized Values'!G39</f>
        <v>57</v>
      </c>
      <c r="E26" s="174">
        <f t="shared" ref="E26:E46" si="6">D26*C26</f>
        <v>220.30827362400001</v>
      </c>
      <c r="F26" s="173">
        <f t="shared" ref="F26:F46" si="7">E26/(1.03^B26)</f>
        <v>179.13078716238329</v>
      </c>
      <c r="G26" s="174">
        <f t="shared" ref="G26:G46" si="8">$G$10</f>
        <v>281.39</v>
      </c>
      <c r="H26" s="173">
        <f t="shared" ref="H26:H46" si="9">G26/(1.07^B26)</f>
        <v>175.23554986890508</v>
      </c>
      <c r="I26" s="174">
        <f t="shared" ref="I26:I46" si="10">F26+H26</f>
        <v>354.36633703128837</v>
      </c>
    </row>
    <row r="27" spans="1:9" x14ac:dyDescent="0.3">
      <c r="A27" s="18">
        <f t="shared" si="4"/>
        <v>2027</v>
      </c>
      <c r="B27" s="20">
        <v>8</v>
      </c>
      <c r="C27">
        <f t="shared" si="5"/>
        <v>3.865057432</v>
      </c>
      <c r="D27" s="173">
        <f>'Monitized Values'!G40</f>
        <v>58</v>
      </c>
      <c r="E27" s="174">
        <f t="shared" si="6"/>
        <v>224.17333105599999</v>
      </c>
      <c r="F27" s="173">
        <f t="shared" si="7"/>
        <v>176.96449762252141</v>
      </c>
      <c r="G27" s="174">
        <f t="shared" si="8"/>
        <v>281.39</v>
      </c>
      <c r="H27" s="173">
        <f t="shared" si="9"/>
        <v>163.77154193355616</v>
      </c>
      <c r="I27" s="174">
        <f t="shared" si="10"/>
        <v>340.73603955607757</v>
      </c>
    </row>
    <row r="28" spans="1:9" x14ac:dyDescent="0.3">
      <c r="A28" s="18">
        <f t="shared" si="4"/>
        <v>2028</v>
      </c>
      <c r="B28" s="20">
        <v>9</v>
      </c>
      <c r="C28">
        <f t="shared" si="5"/>
        <v>3.865057432</v>
      </c>
      <c r="D28" s="173">
        <f>'Monitized Values'!G41</f>
        <v>59</v>
      </c>
      <c r="E28" s="174">
        <f t="shared" si="6"/>
        <v>228.03838848800001</v>
      </c>
      <c r="F28" s="173">
        <f t="shared" si="7"/>
        <v>174.77243655387952</v>
      </c>
      <c r="G28" s="174">
        <f t="shared" si="8"/>
        <v>281.39</v>
      </c>
      <c r="H28" s="173">
        <f t="shared" si="9"/>
        <v>153.0575158257534</v>
      </c>
      <c r="I28" s="174">
        <f t="shared" si="10"/>
        <v>327.82995237963291</v>
      </c>
    </row>
    <row r="29" spans="1:9" x14ac:dyDescent="0.3">
      <c r="A29" s="18">
        <f t="shared" si="4"/>
        <v>2029</v>
      </c>
      <c r="B29" s="20">
        <v>10</v>
      </c>
      <c r="C29">
        <f t="shared" si="5"/>
        <v>3.865057432</v>
      </c>
      <c r="D29" s="173">
        <f>'Monitized Values'!G42</f>
        <v>60</v>
      </c>
      <c r="E29" s="174">
        <f t="shared" si="6"/>
        <v>231.90344592</v>
      </c>
      <c r="F29" s="173">
        <f t="shared" si="7"/>
        <v>172.5579429526538</v>
      </c>
      <c r="G29" s="174">
        <f t="shared" si="8"/>
        <v>281.39</v>
      </c>
      <c r="H29" s="173">
        <f t="shared" si="9"/>
        <v>143.04440731378824</v>
      </c>
      <c r="I29" s="174">
        <f t="shared" si="10"/>
        <v>315.60235026644204</v>
      </c>
    </row>
    <row r="30" spans="1:9" x14ac:dyDescent="0.3">
      <c r="A30" s="18">
        <f t="shared" si="4"/>
        <v>2030</v>
      </c>
      <c r="B30" s="20">
        <v>11</v>
      </c>
      <c r="C30">
        <f t="shared" si="5"/>
        <v>3.865057432</v>
      </c>
      <c r="D30" s="173">
        <f>'Monitized Values'!G43</f>
        <v>61</v>
      </c>
      <c r="E30" s="174">
        <f t="shared" si="6"/>
        <v>235.76850335200001</v>
      </c>
      <c r="F30" s="173">
        <f t="shared" si="7"/>
        <v>170.32418317333142</v>
      </c>
      <c r="G30" s="174">
        <f t="shared" si="8"/>
        <v>281.39</v>
      </c>
      <c r="H30" s="173">
        <f t="shared" si="9"/>
        <v>133.68636197550299</v>
      </c>
      <c r="I30" s="174">
        <f t="shared" si="10"/>
        <v>304.01054514883441</v>
      </c>
    </row>
    <row r="31" spans="1:9" x14ac:dyDescent="0.3">
      <c r="A31" s="18">
        <f t="shared" si="4"/>
        <v>2031</v>
      </c>
      <c r="B31" s="20">
        <v>12</v>
      </c>
      <c r="C31">
        <f t="shared" si="5"/>
        <v>3.865057432</v>
      </c>
      <c r="D31" s="173">
        <f>'Monitized Values'!G44</f>
        <v>62</v>
      </c>
      <c r="E31" s="174">
        <f t="shared" si="6"/>
        <v>239.633560784</v>
      </c>
      <c r="F31" s="173">
        <f t="shared" si="7"/>
        <v>168.07415815289747</v>
      </c>
      <c r="G31" s="174">
        <f t="shared" si="8"/>
        <v>281.39</v>
      </c>
      <c r="H31" s="173">
        <f t="shared" si="9"/>
        <v>124.94052521075049</v>
      </c>
      <c r="I31" s="174">
        <f t="shared" si="10"/>
        <v>293.01468336364798</v>
      </c>
    </row>
    <row r="32" spans="1:9" x14ac:dyDescent="0.3">
      <c r="A32" s="18">
        <f t="shared" si="4"/>
        <v>2032</v>
      </c>
      <c r="B32" s="20">
        <v>13</v>
      </c>
      <c r="C32">
        <f t="shared" si="5"/>
        <v>3.865057432</v>
      </c>
      <c r="D32" s="173">
        <f>'Monitized Values'!G45</f>
        <v>63</v>
      </c>
      <c r="E32" s="174">
        <f t="shared" si="6"/>
        <v>243.49861821600001</v>
      </c>
      <c r="F32" s="173">
        <f t="shared" si="7"/>
        <v>165.81071036067246</v>
      </c>
      <c r="G32" s="174">
        <f t="shared" si="8"/>
        <v>281.39</v>
      </c>
      <c r="H32" s="173">
        <f t="shared" si="9"/>
        <v>116.76684599135559</v>
      </c>
      <c r="I32" s="174">
        <f t="shared" si="10"/>
        <v>282.57755635202807</v>
      </c>
    </row>
    <row r="33" spans="1:9" x14ac:dyDescent="0.3">
      <c r="A33" s="18">
        <f t="shared" si="4"/>
        <v>2033</v>
      </c>
      <c r="B33" s="20">
        <v>14</v>
      </c>
      <c r="C33">
        <f t="shared" si="5"/>
        <v>3.865057432</v>
      </c>
      <c r="D33" s="173">
        <f>'Monitized Values'!G46</f>
        <v>64</v>
      </c>
      <c r="E33" s="174">
        <f t="shared" si="6"/>
        <v>247.363675648</v>
      </c>
      <c r="F33" s="173">
        <f t="shared" si="7"/>
        <v>163.53653048363438</v>
      </c>
      <c r="G33" s="174">
        <f t="shared" si="8"/>
        <v>281.39</v>
      </c>
      <c r="H33" s="173">
        <f t="shared" si="9"/>
        <v>109.12789344986504</v>
      </c>
      <c r="I33" s="174">
        <f t="shared" si="10"/>
        <v>272.66442393349939</v>
      </c>
    </row>
    <row r="34" spans="1:9" x14ac:dyDescent="0.3">
      <c r="A34" s="18">
        <f t="shared" si="4"/>
        <v>2034</v>
      </c>
      <c r="B34" s="20">
        <v>15</v>
      </c>
      <c r="C34">
        <f t="shared" si="5"/>
        <v>3.865057432</v>
      </c>
      <c r="D34" s="173">
        <f>'Monitized Values'!G47</f>
        <v>66</v>
      </c>
      <c r="E34" s="174">
        <f t="shared" si="6"/>
        <v>255.093790512</v>
      </c>
      <c r="F34" s="173">
        <f t="shared" si="7"/>
        <v>163.73499714684266</v>
      </c>
      <c r="G34" s="174">
        <f t="shared" si="8"/>
        <v>281.39</v>
      </c>
      <c r="H34" s="173">
        <f t="shared" si="9"/>
        <v>101.98868546716358</v>
      </c>
      <c r="I34" s="174">
        <f t="shared" si="10"/>
        <v>265.72368261400624</v>
      </c>
    </row>
    <row r="35" spans="1:9" x14ac:dyDescent="0.3">
      <c r="A35" s="18">
        <f t="shared" si="4"/>
        <v>2035</v>
      </c>
      <c r="B35" s="20">
        <v>16</v>
      </c>
      <c r="C35">
        <f t="shared" si="5"/>
        <v>3.865057432</v>
      </c>
      <c r="D35" s="173">
        <f>'Monitized Values'!G48</f>
        <v>67</v>
      </c>
      <c r="E35" s="174">
        <f t="shared" si="6"/>
        <v>258.95884794400001</v>
      </c>
      <c r="F35" s="173">
        <f t="shared" si="7"/>
        <v>161.3745926572295</v>
      </c>
      <c r="G35" s="174">
        <f t="shared" si="8"/>
        <v>281.39</v>
      </c>
      <c r="H35" s="173">
        <f t="shared" si="9"/>
        <v>95.316528473984675</v>
      </c>
      <c r="I35" s="174">
        <f t="shared" si="10"/>
        <v>256.69112113121417</v>
      </c>
    </row>
    <row r="36" spans="1:9" x14ac:dyDescent="0.3">
      <c r="A36" s="18">
        <f t="shared" si="4"/>
        <v>2036</v>
      </c>
      <c r="B36" s="20">
        <v>17</v>
      </c>
      <c r="C36">
        <f t="shared" si="5"/>
        <v>3.865057432</v>
      </c>
      <c r="D36" s="173">
        <f>'Monitized Values'!G49</f>
        <v>68</v>
      </c>
      <c r="E36" s="174">
        <f t="shared" si="6"/>
        <v>262.82390537599997</v>
      </c>
      <c r="F36" s="173">
        <f t="shared" si="7"/>
        <v>159.01278511362997</v>
      </c>
      <c r="G36" s="174">
        <f t="shared" si="8"/>
        <v>281.39</v>
      </c>
      <c r="H36" s="173">
        <f t="shared" si="9"/>
        <v>89.08086773269595</v>
      </c>
      <c r="I36" s="174">
        <f t="shared" si="10"/>
        <v>248.09365284632594</v>
      </c>
    </row>
    <row r="37" spans="1:9" x14ac:dyDescent="0.3">
      <c r="A37" s="18">
        <f t="shared" si="4"/>
        <v>2037</v>
      </c>
      <c r="B37" s="20">
        <v>18</v>
      </c>
      <c r="C37">
        <f t="shared" si="5"/>
        <v>3.865057432</v>
      </c>
      <c r="D37" s="173">
        <f>'Monitized Values'!G50</f>
        <v>69</v>
      </c>
      <c r="E37" s="174">
        <f t="shared" si="6"/>
        <v>266.68896280799999</v>
      </c>
      <c r="F37" s="173">
        <f t="shared" si="7"/>
        <v>156.65165866419858</v>
      </c>
      <c r="G37" s="174">
        <f t="shared" si="8"/>
        <v>281.39</v>
      </c>
      <c r="H37" s="173">
        <f t="shared" si="9"/>
        <v>83.253147413734538</v>
      </c>
      <c r="I37" s="174">
        <f t="shared" si="10"/>
        <v>239.90480607793313</v>
      </c>
    </row>
    <row r="38" spans="1:9" x14ac:dyDescent="0.3">
      <c r="A38" s="18">
        <f t="shared" si="4"/>
        <v>2038</v>
      </c>
      <c r="B38" s="20">
        <v>19</v>
      </c>
      <c r="C38">
        <f t="shared" si="5"/>
        <v>3.865057432</v>
      </c>
      <c r="D38" s="173">
        <f>'Monitized Values'!G51</f>
        <v>70</v>
      </c>
      <c r="E38" s="174">
        <f t="shared" si="6"/>
        <v>270.55402024</v>
      </c>
      <c r="F38" s="173">
        <f t="shared" si="7"/>
        <v>154.29317724066274</v>
      </c>
      <c r="G38" s="174">
        <f t="shared" si="8"/>
        <v>281.39</v>
      </c>
      <c r="H38" s="173">
        <f t="shared" si="9"/>
        <v>77.806679825920114</v>
      </c>
      <c r="I38" s="174">
        <f t="shared" si="10"/>
        <v>232.09985706658284</v>
      </c>
    </row>
    <row r="39" spans="1:9" x14ac:dyDescent="0.3">
      <c r="A39" s="18">
        <f t="shared" si="4"/>
        <v>2039</v>
      </c>
      <c r="B39" s="20">
        <v>20</v>
      </c>
      <c r="C39">
        <f t="shared" si="5"/>
        <v>3.865057432</v>
      </c>
      <c r="D39" s="173">
        <f>'Monitized Values'!G52</f>
        <v>71</v>
      </c>
      <c r="E39" s="174">
        <f t="shared" si="6"/>
        <v>274.41907767200001</v>
      </c>
      <c r="F39" s="173">
        <f t="shared" si="7"/>
        <v>151.93918979316305</v>
      </c>
      <c r="G39" s="174">
        <f t="shared" si="8"/>
        <v>281.39</v>
      </c>
      <c r="H39" s="173">
        <f t="shared" si="9"/>
        <v>72.716523201794516</v>
      </c>
      <c r="I39" s="174">
        <f t="shared" si="10"/>
        <v>224.65571299495758</v>
      </c>
    </row>
    <row r="40" spans="1:9" x14ac:dyDescent="0.3">
      <c r="A40" s="18">
        <f t="shared" si="4"/>
        <v>2040</v>
      </c>
      <c r="B40" s="20">
        <v>21</v>
      </c>
      <c r="C40">
        <f t="shared" si="5"/>
        <v>3.865057432</v>
      </c>
      <c r="D40" s="173">
        <f>'Monitized Values'!G53</f>
        <v>72</v>
      </c>
      <c r="E40" s="174">
        <f t="shared" si="6"/>
        <v>278.28413510399997</v>
      </c>
      <c r="F40" s="173">
        <f t="shared" si="7"/>
        <v>149.59143532213508</v>
      </c>
      <c r="G40" s="174">
        <f t="shared" si="8"/>
        <v>281.39</v>
      </c>
      <c r="H40" s="173">
        <f t="shared" si="9"/>
        <v>67.959367478312629</v>
      </c>
      <c r="I40" s="174">
        <f t="shared" si="10"/>
        <v>217.55080280044771</v>
      </c>
    </row>
    <row r="41" spans="1:9" x14ac:dyDescent="0.3">
      <c r="A41" s="18">
        <f t="shared" si="4"/>
        <v>2041</v>
      </c>
      <c r="B41" s="20">
        <v>22</v>
      </c>
      <c r="C41">
        <f t="shared" si="5"/>
        <v>3.865057432</v>
      </c>
      <c r="D41" s="173">
        <f>'Monitized Values'!G54</f>
        <v>73</v>
      </c>
      <c r="E41" s="174">
        <f t="shared" si="6"/>
        <v>282.14919253599999</v>
      </c>
      <c r="F41" s="173">
        <f t="shared" si="7"/>
        <v>147.25154771461516</v>
      </c>
      <c r="G41" s="174">
        <f t="shared" si="8"/>
        <v>281.39</v>
      </c>
      <c r="H41" s="173">
        <f t="shared" si="9"/>
        <v>63.513427549824883</v>
      </c>
      <c r="I41" s="174">
        <f t="shared" si="10"/>
        <v>210.76497526444004</v>
      </c>
    </row>
    <row r="42" spans="1:9" x14ac:dyDescent="0.3">
      <c r="A42" s="18">
        <f t="shared" si="4"/>
        <v>2042</v>
      </c>
      <c r="B42" s="20">
        <v>23</v>
      </c>
      <c r="C42">
        <f t="shared" si="5"/>
        <v>3.865057432</v>
      </c>
      <c r="D42" s="173">
        <f>'Monitized Values'!G55</f>
        <v>75</v>
      </c>
      <c r="E42" s="174">
        <f t="shared" si="6"/>
        <v>289.87930740000002</v>
      </c>
      <c r="F42" s="173">
        <f t="shared" si="7"/>
        <v>146.87945310009493</v>
      </c>
      <c r="G42" s="174">
        <f t="shared" si="8"/>
        <v>281.39</v>
      </c>
      <c r="H42" s="173">
        <f t="shared" si="9"/>
        <v>59.358343504509236</v>
      </c>
      <c r="I42" s="174">
        <f t="shared" si="10"/>
        <v>206.23779660460417</v>
      </c>
    </row>
    <row r="43" spans="1:9" x14ac:dyDescent="0.3">
      <c r="A43" s="18">
        <f t="shared" si="4"/>
        <v>2043</v>
      </c>
      <c r="B43" s="20">
        <v>24</v>
      </c>
      <c r="C43">
        <f t="shared" si="5"/>
        <v>3.865057432</v>
      </c>
      <c r="D43" s="173">
        <f>'Monitized Values'!G56</f>
        <v>76</v>
      </c>
      <c r="E43" s="174">
        <f t="shared" si="6"/>
        <v>293.74436483199997</v>
      </c>
      <c r="F43" s="173">
        <f t="shared" si="7"/>
        <v>144.50276292048176</v>
      </c>
      <c r="G43" s="174">
        <f t="shared" si="8"/>
        <v>281.39</v>
      </c>
      <c r="H43" s="173">
        <f t="shared" si="9"/>
        <v>55.475087387391802</v>
      </c>
      <c r="I43" s="174">
        <f t="shared" si="10"/>
        <v>199.97785030787355</v>
      </c>
    </row>
    <row r="44" spans="1:9" x14ac:dyDescent="0.3">
      <c r="A44" s="18">
        <f t="shared" si="4"/>
        <v>2044</v>
      </c>
      <c r="B44" s="20">
        <v>25</v>
      </c>
      <c r="C44">
        <f t="shared" si="5"/>
        <v>3.865057432</v>
      </c>
      <c r="D44" s="173">
        <f>'Monitized Values'!G57</f>
        <v>77</v>
      </c>
      <c r="E44" s="174">
        <f t="shared" si="6"/>
        <v>297.60942226399999</v>
      </c>
      <c r="F44" s="173">
        <f t="shared" si="7"/>
        <v>142.13991753803137</v>
      </c>
      <c r="G44" s="174">
        <f t="shared" si="8"/>
        <v>281.39</v>
      </c>
      <c r="H44" s="173">
        <f t="shared" si="9"/>
        <v>51.845876062982995</v>
      </c>
      <c r="I44" s="174">
        <f t="shared" si="10"/>
        <v>193.98579360101436</v>
      </c>
    </row>
    <row r="45" spans="1:9" x14ac:dyDescent="0.3">
      <c r="A45" s="18">
        <f t="shared" si="4"/>
        <v>2045</v>
      </c>
      <c r="B45" s="20">
        <v>26</v>
      </c>
      <c r="C45">
        <f t="shared" si="5"/>
        <v>3.865057432</v>
      </c>
      <c r="D45" s="173">
        <f>'Monitized Values'!G58</f>
        <v>78</v>
      </c>
      <c r="E45" s="174">
        <f t="shared" si="6"/>
        <v>301.474479696</v>
      </c>
      <c r="F45" s="173">
        <f t="shared" si="7"/>
        <v>139.79212669230168</v>
      </c>
      <c r="G45" s="174">
        <f t="shared" si="8"/>
        <v>281.39</v>
      </c>
      <c r="H45" s="173">
        <f t="shared" si="9"/>
        <v>48.454089778488779</v>
      </c>
      <c r="I45" s="174">
        <f t="shared" si="10"/>
        <v>188.24621647079044</v>
      </c>
    </row>
    <row r="46" spans="1:9" x14ac:dyDescent="0.3">
      <c r="A46" s="18">
        <f t="shared" si="4"/>
        <v>2046</v>
      </c>
      <c r="B46" s="20">
        <v>27</v>
      </c>
      <c r="C46">
        <f t="shared" si="5"/>
        <v>3.865057432</v>
      </c>
      <c r="D46" s="173">
        <f>'Monitized Values'!G59</f>
        <v>79</v>
      </c>
      <c r="E46" s="174">
        <f t="shared" si="6"/>
        <v>305.33953712800002</v>
      </c>
      <c r="F46" s="173">
        <f t="shared" si="7"/>
        <v>137.46051790754086</v>
      </c>
      <c r="G46" s="174">
        <f t="shared" si="8"/>
        <v>281.39</v>
      </c>
      <c r="H46" s="173">
        <f t="shared" si="9"/>
        <v>45.284196054662402</v>
      </c>
      <c r="I46" s="174">
        <f t="shared" si="10"/>
        <v>182.74471396220326</v>
      </c>
    </row>
    <row r="47" spans="1:9" x14ac:dyDescent="0.3">
      <c r="I47" s="174">
        <f>SUM(I26:I46)</f>
        <v>5357.4788697738431</v>
      </c>
    </row>
  </sheetData>
  <mergeCells count="3">
    <mergeCell ref="A1:I1"/>
    <mergeCell ref="D2:F2"/>
    <mergeCell ref="G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O27"/>
  <sheetViews>
    <sheetView workbookViewId="0"/>
  </sheetViews>
  <sheetFormatPr defaultRowHeight="13.5" x14ac:dyDescent="0.3"/>
  <cols>
    <col min="1" max="1" width="4.84375" bestFit="1" customWidth="1"/>
    <col min="2" max="2" width="13.921875" bestFit="1" customWidth="1"/>
    <col min="3" max="3" width="12" customWidth="1"/>
    <col min="4" max="4" width="15.3828125" customWidth="1"/>
    <col min="5" max="5" width="9.84375" customWidth="1"/>
    <col min="6" max="6" width="17.61328125" customWidth="1"/>
    <col min="11" max="11" width="13.3828125" customWidth="1"/>
    <col min="14" max="14" width="13.765625" customWidth="1"/>
    <col min="15" max="15" width="13.84375" bestFit="1" customWidth="1"/>
  </cols>
  <sheetData>
    <row r="1" spans="1:11" s="120" customFormat="1" ht="40.5" x14ac:dyDescent="0.3">
      <c r="A1" s="119" t="s">
        <v>0</v>
      </c>
      <c r="B1" s="113" t="s">
        <v>46</v>
      </c>
      <c r="C1" s="113" t="s">
        <v>47</v>
      </c>
      <c r="D1" s="113" t="s">
        <v>48</v>
      </c>
      <c r="E1" s="180" t="s">
        <v>156</v>
      </c>
      <c r="F1" s="180" t="s">
        <v>157</v>
      </c>
    </row>
    <row r="2" spans="1:11" x14ac:dyDescent="0.3">
      <c r="A2" s="20">
        <f>'Monitized Values'!C7</f>
        <v>2002</v>
      </c>
      <c r="B2" s="65"/>
      <c r="C2" s="1"/>
      <c r="D2" s="65"/>
      <c r="E2" s="1">
        <f>'Monitized Values'!D7</f>
        <v>1.3851</v>
      </c>
      <c r="F2" s="65">
        <f>D2*E2</f>
        <v>0</v>
      </c>
    </row>
    <row r="3" spans="1:11" x14ac:dyDescent="0.3">
      <c r="A3" s="20">
        <f>'Monitized Values'!C8</f>
        <v>2003</v>
      </c>
      <c r="B3" s="65"/>
      <c r="C3" s="1"/>
      <c r="D3" s="65"/>
      <c r="E3" s="1">
        <f>'Monitized Values'!D8</f>
        <v>1.3597999999999999</v>
      </c>
      <c r="F3" s="65">
        <f t="shared" ref="F3:F19" si="0">D3*E3</f>
        <v>0</v>
      </c>
    </row>
    <row r="4" spans="1:11" x14ac:dyDescent="0.3">
      <c r="A4" s="20">
        <f>'Monitized Values'!C9</f>
        <v>2004</v>
      </c>
      <c r="B4" s="65"/>
      <c r="C4" s="1"/>
      <c r="D4" s="65"/>
      <c r="E4" s="1">
        <f>'Monitized Values'!D9</f>
        <v>1.3242</v>
      </c>
      <c r="F4" s="65">
        <f t="shared" si="0"/>
        <v>0</v>
      </c>
    </row>
    <row r="5" spans="1:11" x14ac:dyDescent="0.3">
      <c r="A5" s="20">
        <f>'Monitized Values'!C10</f>
        <v>2005</v>
      </c>
      <c r="B5" s="65"/>
      <c r="C5" s="1"/>
      <c r="D5" s="65"/>
      <c r="E5" s="1">
        <f>'Monitized Values'!D10</f>
        <v>1.2842</v>
      </c>
      <c r="F5" s="65">
        <f t="shared" si="0"/>
        <v>0</v>
      </c>
    </row>
    <row r="6" spans="1:11" x14ac:dyDescent="0.3">
      <c r="A6" s="20">
        <f>'Monitized Values'!C11</f>
        <v>2006</v>
      </c>
      <c r="B6" s="65"/>
      <c r="C6" s="1"/>
      <c r="D6" s="65"/>
      <c r="E6" s="1">
        <f>'Monitized Values'!D11</f>
        <v>1.2464999999999999</v>
      </c>
      <c r="F6" s="65">
        <f t="shared" si="0"/>
        <v>0</v>
      </c>
    </row>
    <row r="7" spans="1:11" x14ac:dyDescent="0.3">
      <c r="A7" s="20">
        <f>'Monitized Values'!C12</f>
        <v>2007</v>
      </c>
      <c r="B7" s="65"/>
      <c r="C7" s="1"/>
      <c r="D7" s="65"/>
      <c r="E7" s="1">
        <f>'Monitized Values'!D12</f>
        <v>1.2139</v>
      </c>
      <c r="F7" s="65">
        <f t="shared" si="0"/>
        <v>0</v>
      </c>
    </row>
    <row r="8" spans="1:11" x14ac:dyDescent="0.3">
      <c r="A8" s="20">
        <f>'Monitized Values'!C13</f>
        <v>2008</v>
      </c>
      <c r="B8" s="65"/>
      <c r="C8" s="1"/>
      <c r="D8" s="65"/>
      <c r="E8" s="1">
        <f>'Monitized Values'!D13</f>
        <v>1.1907000000000001</v>
      </c>
      <c r="F8" s="65">
        <f t="shared" si="0"/>
        <v>0</v>
      </c>
    </row>
    <row r="9" spans="1:11" x14ac:dyDescent="0.3">
      <c r="A9" s="20">
        <f>'Monitized Values'!C14</f>
        <v>2009</v>
      </c>
      <c r="B9" s="65"/>
      <c r="C9" s="1"/>
      <c r="D9" s="65"/>
      <c r="E9" s="1">
        <f>'Monitized Values'!D14</f>
        <v>1.1817</v>
      </c>
      <c r="F9" s="65">
        <f t="shared" si="0"/>
        <v>0</v>
      </c>
    </row>
    <row r="10" spans="1:11" x14ac:dyDescent="0.3">
      <c r="A10" s="20">
        <f>'Monitized Values'!C15</f>
        <v>2010</v>
      </c>
      <c r="B10" s="65"/>
      <c r="C10" s="1"/>
      <c r="D10" s="65"/>
      <c r="E10" s="1">
        <f>'Monitized Values'!D15</f>
        <v>1.1680999999999999</v>
      </c>
      <c r="F10" s="65">
        <f t="shared" si="0"/>
        <v>0</v>
      </c>
    </row>
    <row r="11" spans="1:11" x14ac:dyDescent="0.3">
      <c r="A11" s="20">
        <f>'Monitized Values'!C16</f>
        <v>2011</v>
      </c>
      <c r="B11" s="48"/>
      <c r="C11" s="1"/>
      <c r="D11" s="65"/>
      <c r="E11" s="1">
        <f>'Monitized Values'!D16</f>
        <v>1.1442000000000001</v>
      </c>
      <c r="F11" s="65">
        <f t="shared" si="0"/>
        <v>0</v>
      </c>
    </row>
    <row r="12" spans="1:11" x14ac:dyDescent="0.3">
      <c r="A12" s="20">
        <f>'Monitized Values'!C17</f>
        <v>2012</v>
      </c>
      <c r="B12" s="48">
        <v>1000000</v>
      </c>
      <c r="C12" s="1"/>
      <c r="D12" s="65">
        <f t="shared" ref="D12:D19" si="1">B12+C12</f>
        <v>1000000</v>
      </c>
      <c r="E12" s="1">
        <f>'Monitized Values'!D17</f>
        <v>1.1227</v>
      </c>
      <c r="F12" s="65">
        <f t="shared" si="0"/>
        <v>1122700</v>
      </c>
    </row>
    <row r="13" spans="1:11" x14ac:dyDescent="0.3">
      <c r="A13" s="20">
        <f>'Monitized Values'!C18</f>
        <v>2013</v>
      </c>
      <c r="B13" s="48">
        <v>1000000</v>
      </c>
      <c r="C13" s="1"/>
      <c r="D13" s="65">
        <f t="shared" si="1"/>
        <v>1000000</v>
      </c>
      <c r="E13" s="1">
        <f>'Monitized Values'!D18</f>
        <v>1.1032999999999999</v>
      </c>
      <c r="F13" s="65">
        <f t="shared" si="0"/>
        <v>1103300</v>
      </c>
    </row>
    <row r="14" spans="1:11" x14ac:dyDescent="0.3">
      <c r="A14" s="20">
        <f>'Monitized Values'!C19</f>
        <v>2014</v>
      </c>
      <c r="B14" s="48">
        <v>2000000</v>
      </c>
      <c r="C14" s="1"/>
      <c r="D14" s="65">
        <f t="shared" si="1"/>
        <v>2000000</v>
      </c>
      <c r="E14" s="1">
        <f>'Monitized Values'!D19</f>
        <v>1.0831999999999999</v>
      </c>
      <c r="F14" s="65">
        <f t="shared" si="0"/>
        <v>2166400</v>
      </c>
    </row>
    <row r="15" spans="1:11" x14ac:dyDescent="0.3">
      <c r="A15" s="20">
        <f>'Monitized Values'!C20</f>
        <v>2015</v>
      </c>
      <c r="B15" s="48">
        <v>2000000</v>
      </c>
      <c r="C15" s="1"/>
      <c r="D15" s="65">
        <f t="shared" si="1"/>
        <v>2000000</v>
      </c>
      <c r="E15" s="1">
        <f>'Monitized Values'!D20</f>
        <v>1.073</v>
      </c>
      <c r="F15" s="65">
        <f t="shared" si="0"/>
        <v>2146000</v>
      </c>
    </row>
    <row r="16" spans="1:11" x14ac:dyDescent="0.3">
      <c r="A16" s="20">
        <f>'Monitized Values'!C21</f>
        <v>2016</v>
      </c>
      <c r="B16" s="48">
        <v>2000000</v>
      </c>
      <c r="C16" s="1"/>
      <c r="D16" s="65">
        <f t="shared" si="1"/>
        <v>2000000</v>
      </c>
      <c r="E16" s="1">
        <f>'Monitized Values'!D21</f>
        <v>1.0619000000000001</v>
      </c>
      <c r="F16" s="65">
        <f t="shared" si="0"/>
        <v>2123800</v>
      </c>
      <c r="J16" s="97"/>
      <c r="K16" s="70"/>
    </row>
    <row r="17" spans="1:15" x14ac:dyDescent="0.3">
      <c r="A17" s="20">
        <f>'Monitized Values'!C22</f>
        <v>2017</v>
      </c>
      <c r="B17" s="48">
        <v>2000000</v>
      </c>
      <c r="C17" s="1"/>
      <c r="D17" s="65">
        <f t="shared" si="1"/>
        <v>2000000</v>
      </c>
      <c r="E17" s="1">
        <f>'Monitized Values'!D22</f>
        <v>1.0423</v>
      </c>
      <c r="F17" s="65">
        <f t="shared" si="0"/>
        <v>2084600</v>
      </c>
      <c r="J17" s="97"/>
      <c r="K17" s="70"/>
    </row>
    <row r="18" spans="1:15" x14ac:dyDescent="0.3">
      <c r="A18" s="20">
        <f>'Monitized Values'!C23</f>
        <v>2018</v>
      </c>
      <c r="B18" s="48">
        <v>2500000</v>
      </c>
      <c r="C18" s="1"/>
      <c r="D18" s="65">
        <f t="shared" si="1"/>
        <v>2500000</v>
      </c>
      <c r="E18" s="1">
        <f>'Monitized Values'!D23</f>
        <v>1.0179</v>
      </c>
      <c r="F18" s="65">
        <f t="shared" si="0"/>
        <v>2544750</v>
      </c>
      <c r="J18" s="97"/>
      <c r="K18" s="70"/>
    </row>
    <row r="19" spans="1:15" x14ac:dyDescent="0.3">
      <c r="A19" s="20">
        <f>'Monitized Values'!C24</f>
        <v>2019</v>
      </c>
      <c r="B19" s="48">
        <v>2500000</v>
      </c>
      <c r="C19" s="1"/>
      <c r="D19" s="65">
        <f t="shared" si="1"/>
        <v>2500000</v>
      </c>
      <c r="E19" s="1">
        <f>'Monitized Values'!D24</f>
        <v>1</v>
      </c>
      <c r="F19" s="65">
        <f t="shared" si="0"/>
        <v>2500000</v>
      </c>
      <c r="J19" s="97"/>
      <c r="K19" s="70"/>
    </row>
    <row r="20" spans="1:15" x14ac:dyDescent="0.3">
      <c r="B20" s="146"/>
      <c r="D20" s="147"/>
      <c r="F20" s="122">
        <f>SUM(F2:F19)</f>
        <v>15791550</v>
      </c>
    </row>
    <row r="21" spans="1:15" x14ac:dyDescent="0.3">
      <c r="A21" s="1">
        <v>2020</v>
      </c>
      <c r="B21" s="130">
        <v>2260000</v>
      </c>
      <c r="J21" s="97"/>
      <c r="K21" s="70"/>
      <c r="M21" s="97"/>
      <c r="N21" s="70"/>
      <c r="O21" s="70"/>
    </row>
    <row r="22" spans="1:15" x14ac:dyDescent="0.3">
      <c r="A22" s="1">
        <v>2021</v>
      </c>
      <c r="B22" s="130">
        <v>2000000</v>
      </c>
      <c r="J22" s="97"/>
      <c r="K22" s="70"/>
      <c r="M22" s="97"/>
      <c r="N22" s="70"/>
      <c r="O22" s="70"/>
    </row>
    <row r="23" spans="1:15" x14ac:dyDescent="0.3">
      <c r="A23" s="1">
        <v>2022</v>
      </c>
      <c r="B23" s="130">
        <v>2000000</v>
      </c>
      <c r="J23" s="97"/>
      <c r="K23" s="70"/>
      <c r="O23" s="70"/>
    </row>
    <row r="24" spans="1:15" x14ac:dyDescent="0.3">
      <c r="B24" s="70">
        <f>SUM(B12:B23)</f>
        <v>21260000</v>
      </c>
      <c r="J24" s="97"/>
      <c r="K24" s="70"/>
      <c r="M24" s="97"/>
      <c r="N24" s="70"/>
      <c r="O24" s="70"/>
    </row>
    <row r="25" spans="1:15" x14ac:dyDescent="0.3">
      <c r="J25" s="97"/>
      <c r="K25" s="70"/>
      <c r="M25" s="97"/>
      <c r="N25" s="70"/>
      <c r="O25" s="70"/>
    </row>
    <row r="26" spans="1:15" x14ac:dyDescent="0.3">
      <c r="J26" s="97"/>
      <c r="K26" s="70"/>
      <c r="M26" s="97"/>
      <c r="N26" s="70"/>
      <c r="O26" s="70"/>
    </row>
    <row r="27" spans="1:15" x14ac:dyDescent="0.3">
      <c r="K27" s="7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0.249977111117893"/>
  </sheetPr>
  <dimension ref="A1:G9"/>
  <sheetViews>
    <sheetView workbookViewId="0"/>
  </sheetViews>
  <sheetFormatPr defaultRowHeight="13.5" x14ac:dyDescent="0.3"/>
  <cols>
    <col min="1" max="1" width="4.84375" bestFit="1" customWidth="1"/>
    <col min="2" max="2" width="5.84375" bestFit="1" customWidth="1"/>
    <col min="3" max="3" width="15.3828125" customWidth="1"/>
    <col min="4" max="5" width="9.84375" bestFit="1" customWidth="1"/>
    <col min="6" max="6" width="15.921875" bestFit="1" customWidth="1"/>
    <col min="7" max="7" width="14.921875" bestFit="1" customWidth="1"/>
  </cols>
  <sheetData>
    <row r="1" spans="1:7" ht="27" x14ac:dyDescent="0.3">
      <c r="A1" s="45" t="s">
        <v>0</v>
      </c>
      <c r="B1" s="45" t="s">
        <v>4</v>
      </c>
      <c r="C1" s="28" t="s">
        <v>18</v>
      </c>
    </row>
    <row r="2" spans="1:7" x14ac:dyDescent="0.3">
      <c r="A2" s="18">
        <v>2019</v>
      </c>
      <c r="B2" s="20">
        <v>0</v>
      </c>
      <c r="C2" s="24"/>
    </row>
    <row r="3" spans="1:7" x14ac:dyDescent="0.3">
      <c r="A3" s="18">
        <f>A2+1</f>
        <v>2020</v>
      </c>
      <c r="B3" s="20">
        <v>1</v>
      </c>
      <c r="C3" s="24"/>
    </row>
    <row r="4" spans="1:7" x14ac:dyDescent="0.3">
      <c r="A4" s="18">
        <f t="shared" ref="A4:A9" si="0">A3+1</f>
        <v>2021</v>
      </c>
      <c r="B4" s="20">
        <v>2</v>
      </c>
      <c r="C4" s="24"/>
    </row>
    <row r="5" spans="1:7" x14ac:dyDescent="0.3">
      <c r="A5" s="18">
        <f t="shared" si="0"/>
        <v>2022</v>
      </c>
      <c r="B5" s="20">
        <v>3</v>
      </c>
      <c r="C5" s="24"/>
    </row>
    <row r="6" spans="1:7" ht="14" thickBot="1" x14ac:dyDescent="0.35">
      <c r="A6" s="18">
        <f t="shared" si="0"/>
        <v>2023</v>
      </c>
      <c r="B6" s="20">
        <v>4</v>
      </c>
      <c r="C6" s="161">
        <v>61800000</v>
      </c>
      <c r="E6" s="181"/>
      <c r="F6" s="173"/>
      <c r="G6" s="174"/>
    </row>
    <row r="7" spans="1:7" ht="14" thickBot="1" x14ac:dyDescent="0.35">
      <c r="A7" s="18">
        <f t="shared" si="0"/>
        <v>2024</v>
      </c>
      <c r="B7" s="20">
        <v>5</v>
      </c>
      <c r="C7" s="161">
        <v>74160000</v>
      </c>
      <c r="E7" s="181"/>
      <c r="G7" s="174"/>
    </row>
    <row r="8" spans="1:7" ht="14" thickBot="1" x14ac:dyDescent="0.35">
      <c r="A8" s="18">
        <f t="shared" si="0"/>
        <v>2025</v>
      </c>
      <c r="B8" s="20">
        <v>6</v>
      </c>
      <c r="C8" s="161">
        <v>74160000</v>
      </c>
      <c r="G8" s="174"/>
    </row>
    <row r="9" spans="1:7" ht="14" thickBot="1" x14ac:dyDescent="0.35">
      <c r="A9" s="18">
        <f t="shared" si="0"/>
        <v>2026</v>
      </c>
      <c r="B9" s="20">
        <v>7</v>
      </c>
      <c r="C9" s="161">
        <v>37080000</v>
      </c>
      <c r="E9" s="181"/>
      <c r="G9" s="17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63"/>
  <sheetViews>
    <sheetView workbookViewId="0"/>
  </sheetViews>
  <sheetFormatPr defaultRowHeight="13.5" x14ac:dyDescent="0.3"/>
  <cols>
    <col min="2" max="2" width="31" customWidth="1"/>
    <col min="3" max="3" width="14.61328125" customWidth="1"/>
    <col min="4" max="5" width="13.84375" bestFit="1" customWidth="1"/>
    <col min="6" max="6" width="12.3046875" bestFit="1" customWidth="1"/>
    <col min="7" max="7" width="10.61328125" customWidth="1"/>
  </cols>
  <sheetData>
    <row r="1" spans="2:10" x14ac:dyDescent="0.3">
      <c r="C1" s="30" t="s">
        <v>11</v>
      </c>
      <c r="D1" s="30"/>
      <c r="E1" s="33"/>
      <c r="J1" s="77"/>
    </row>
    <row r="2" spans="2:10" x14ac:dyDescent="0.3">
      <c r="C2" s="31">
        <v>2019</v>
      </c>
      <c r="D2" s="31"/>
      <c r="J2" s="77"/>
    </row>
    <row r="3" spans="2:10" ht="14.5" x14ac:dyDescent="0.35">
      <c r="B3" s="32" t="s">
        <v>12</v>
      </c>
      <c r="C3" s="34">
        <v>17.899999999999999</v>
      </c>
      <c r="D3" s="88"/>
      <c r="F3" s="137" t="s">
        <v>58</v>
      </c>
    </row>
    <row r="4" spans="2:10" x14ac:dyDescent="0.3">
      <c r="B4" s="32" t="s">
        <v>13</v>
      </c>
      <c r="C4" s="34">
        <v>30.8</v>
      </c>
      <c r="D4" s="88"/>
    </row>
    <row r="5" spans="2:10" x14ac:dyDescent="0.3">
      <c r="B5" s="32"/>
    </row>
    <row r="6" spans="2:10" ht="40.5" x14ac:dyDescent="0.3">
      <c r="C6" s="113" t="s">
        <v>44</v>
      </c>
      <c r="D6" s="114" t="s">
        <v>73</v>
      </c>
      <c r="E6" s="88"/>
    </row>
    <row r="7" spans="2:10" x14ac:dyDescent="0.3">
      <c r="C7" s="1">
        <v>2002</v>
      </c>
      <c r="D7" s="115">
        <v>1.3851</v>
      </c>
      <c r="E7" s="88"/>
    </row>
    <row r="8" spans="2:10" x14ac:dyDescent="0.3">
      <c r="C8" s="1">
        <v>2003</v>
      </c>
      <c r="D8" s="115">
        <v>1.3597999999999999</v>
      </c>
      <c r="E8" s="88"/>
    </row>
    <row r="9" spans="2:10" x14ac:dyDescent="0.3">
      <c r="C9" s="116">
        <v>2004</v>
      </c>
      <c r="D9" s="115">
        <v>1.3242</v>
      </c>
      <c r="E9" s="88"/>
    </row>
    <row r="10" spans="2:10" x14ac:dyDescent="0.3">
      <c r="C10" s="116">
        <v>2005</v>
      </c>
      <c r="D10" s="115">
        <v>1.2842</v>
      </c>
      <c r="E10" s="88"/>
    </row>
    <row r="11" spans="2:10" x14ac:dyDescent="0.3">
      <c r="C11" s="116">
        <v>2006</v>
      </c>
      <c r="D11" s="115">
        <v>1.2464999999999999</v>
      </c>
      <c r="E11" s="88"/>
    </row>
    <row r="12" spans="2:10" x14ac:dyDescent="0.3">
      <c r="C12" s="116">
        <v>2007</v>
      </c>
      <c r="D12" s="115">
        <v>1.2139</v>
      </c>
      <c r="E12" s="88"/>
    </row>
    <row r="13" spans="2:10" x14ac:dyDescent="0.3">
      <c r="C13" s="116">
        <v>2008</v>
      </c>
      <c r="D13" s="115">
        <v>1.1907000000000001</v>
      </c>
      <c r="E13" s="88"/>
    </row>
    <row r="14" spans="2:10" x14ac:dyDescent="0.3">
      <c r="C14" s="116">
        <v>2009</v>
      </c>
      <c r="D14" s="115">
        <v>1.1817</v>
      </c>
      <c r="E14" s="88"/>
    </row>
    <row r="15" spans="2:10" x14ac:dyDescent="0.3">
      <c r="C15" s="116">
        <v>2010</v>
      </c>
      <c r="D15" s="115">
        <v>1.1680999999999999</v>
      </c>
      <c r="E15" s="88"/>
    </row>
    <row r="16" spans="2:10" x14ac:dyDescent="0.3">
      <c r="C16" s="116">
        <v>2011</v>
      </c>
      <c r="D16" s="115">
        <v>1.1442000000000001</v>
      </c>
      <c r="E16" s="88"/>
    </row>
    <row r="17" spans="3:9" x14ac:dyDescent="0.3">
      <c r="C17" s="116">
        <v>2012</v>
      </c>
      <c r="D17" s="115">
        <v>1.1227</v>
      </c>
      <c r="E17" s="88"/>
    </row>
    <row r="18" spans="3:9" x14ac:dyDescent="0.3">
      <c r="C18" s="116">
        <v>2013</v>
      </c>
      <c r="D18" s="115">
        <v>1.1032999999999999</v>
      </c>
      <c r="E18" s="88"/>
    </row>
    <row r="19" spans="3:9" x14ac:dyDescent="0.3">
      <c r="C19" s="116">
        <v>2014</v>
      </c>
      <c r="D19" s="115">
        <v>1.0831999999999999</v>
      </c>
      <c r="E19" s="88"/>
    </row>
    <row r="20" spans="3:9" x14ac:dyDescent="0.3">
      <c r="C20" s="116">
        <v>2015</v>
      </c>
      <c r="D20" s="115">
        <v>1.073</v>
      </c>
      <c r="E20" s="88"/>
    </row>
    <row r="21" spans="3:9" x14ac:dyDescent="0.3">
      <c r="C21" s="116">
        <v>2016</v>
      </c>
      <c r="D21" s="115">
        <v>1.0619000000000001</v>
      </c>
      <c r="E21" s="88"/>
    </row>
    <row r="22" spans="3:9" x14ac:dyDescent="0.3">
      <c r="C22" s="116">
        <v>2017</v>
      </c>
      <c r="D22" s="115">
        <v>1.0423</v>
      </c>
      <c r="E22" s="88"/>
    </row>
    <row r="23" spans="3:9" x14ac:dyDescent="0.3">
      <c r="C23" s="116">
        <v>2018</v>
      </c>
      <c r="D23" s="115">
        <v>1.0179</v>
      </c>
      <c r="E23" s="88"/>
    </row>
    <row r="24" spans="3:9" x14ac:dyDescent="0.3">
      <c r="C24" s="116">
        <v>2019</v>
      </c>
      <c r="D24" s="115">
        <v>1</v>
      </c>
      <c r="E24" s="88"/>
    </row>
    <row r="25" spans="3:9" x14ac:dyDescent="0.3">
      <c r="C25" s="21"/>
      <c r="D25" s="98"/>
      <c r="E25" s="88"/>
    </row>
    <row r="26" spans="3:9" ht="14.5" x14ac:dyDescent="0.35">
      <c r="C26" s="109" t="s">
        <v>37</v>
      </c>
      <c r="D26" s="109" t="s">
        <v>40</v>
      </c>
      <c r="E26" s="88"/>
    </row>
    <row r="27" spans="3:9" ht="14.5" x14ac:dyDescent="0.35">
      <c r="C27" s="111" t="s">
        <v>39</v>
      </c>
      <c r="D27" s="110">
        <v>1.67</v>
      </c>
      <c r="E27" s="88"/>
    </row>
    <row r="28" spans="3:9" ht="14.5" x14ac:dyDescent="0.35">
      <c r="C28" s="111" t="s">
        <v>38</v>
      </c>
      <c r="D28" s="110">
        <v>1</v>
      </c>
      <c r="E28" s="88"/>
    </row>
    <row r="29" spans="3:9" x14ac:dyDescent="0.3">
      <c r="C29" s="21"/>
      <c r="D29" s="98"/>
      <c r="E29" s="88"/>
    </row>
    <row r="30" spans="3:9" x14ac:dyDescent="0.3">
      <c r="C30" s="21"/>
      <c r="D30" s="98"/>
      <c r="E30" s="88"/>
    </row>
    <row r="31" spans="3:9" x14ac:dyDescent="0.3">
      <c r="C31" s="21"/>
      <c r="D31" s="98"/>
      <c r="E31" s="88"/>
    </row>
    <row r="32" spans="3:9" ht="14.5" x14ac:dyDescent="0.35">
      <c r="C32" s="21"/>
      <c r="D32" s="98" t="s">
        <v>72</v>
      </c>
      <c r="E32" s="88" t="s">
        <v>69</v>
      </c>
      <c r="F32" t="s">
        <v>70</v>
      </c>
      <c r="G32" t="s">
        <v>71</v>
      </c>
      <c r="I32" s="137" t="s">
        <v>58</v>
      </c>
    </row>
    <row r="33" spans="3:9" x14ac:dyDescent="0.3">
      <c r="C33" s="21">
        <v>2020</v>
      </c>
      <c r="D33" s="151">
        <v>15700</v>
      </c>
      <c r="E33" s="151">
        <v>40400</v>
      </c>
      <c r="F33" s="151">
        <v>729300</v>
      </c>
      <c r="G33" s="151">
        <v>50</v>
      </c>
      <c r="I33" s="26" t="s">
        <v>176</v>
      </c>
    </row>
    <row r="34" spans="3:9" x14ac:dyDescent="0.3">
      <c r="C34" s="21">
        <f>C33+1</f>
        <v>2021</v>
      </c>
      <c r="D34" s="151">
        <v>15900</v>
      </c>
      <c r="E34" s="152">
        <v>41300</v>
      </c>
      <c r="F34" s="151">
        <v>742300</v>
      </c>
      <c r="G34" s="151">
        <v>52</v>
      </c>
    </row>
    <row r="35" spans="3:9" x14ac:dyDescent="0.3">
      <c r="C35" s="21">
        <f t="shared" ref="C35:C62" si="0">C34+1</f>
        <v>2022</v>
      </c>
      <c r="D35" s="151">
        <v>16100</v>
      </c>
      <c r="E35" s="152">
        <v>42100</v>
      </c>
      <c r="F35" s="151">
        <v>755500</v>
      </c>
      <c r="G35" s="151">
        <v>53</v>
      </c>
    </row>
    <row r="36" spans="3:9" x14ac:dyDescent="0.3">
      <c r="C36" s="21">
        <f t="shared" si="0"/>
        <v>2023</v>
      </c>
      <c r="D36" s="151">
        <v>16400</v>
      </c>
      <c r="E36" s="152">
        <v>43000</v>
      </c>
      <c r="F36" s="151">
        <v>769000</v>
      </c>
      <c r="G36" s="151">
        <v>54</v>
      </c>
    </row>
    <row r="37" spans="3:9" x14ac:dyDescent="0.3">
      <c r="C37" s="21">
        <f t="shared" si="0"/>
        <v>2024</v>
      </c>
      <c r="D37" s="151">
        <v>16600</v>
      </c>
      <c r="E37" s="152">
        <v>43900</v>
      </c>
      <c r="F37" s="151">
        <v>782700</v>
      </c>
      <c r="G37" s="151">
        <v>55</v>
      </c>
    </row>
    <row r="38" spans="3:9" x14ac:dyDescent="0.3">
      <c r="C38" s="21">
        <f t="shared" si="0"/>
        <v>2025</v>
      </c>
      <c r="D38" s="151">
        <v>16800</v>
      </c>
      <c r="E38" s="152">
        <v>44900</v>
      </c>
      <c r="F38" s="151">
        <v>796600</v>
      </c>
      <c r="G38" s="151">
        <v>56</v>
      </c>
    </row>
    <row r="39" spans="3:9" x14ac:dyDescent="0.3">
      <c r="C39" s="21">
        <f t="shared" si="0"/>
        <v>2026</v>
      </c>
      <c r="D39" s="151">
        <v>17000</v>
      </c>
      <c r="E39" s="152">
        <v>45500</v>
      </c>
      <c r="F39" s="151">
        <v>807500</v>
      </c>
      <c r="G39" s="151">
        <v>57</v>
      </c>
    </row>
    <row r="40" spans="3:9" x14ac:dyDescent="0.3">
      <c r="C40" s="21">
        <f t="shared" si="0"/>
        <v>2027</v>
      </c>
      <c r="D40" s="151">
        <v>17300</v>
      </c>
      <c r="E40" s="152">
        <v>46200</v>
      </c>
      <c r="F40" s="151">
        <v>818600</v>
      </c>
      <c r="G40" s="151">
        <v>58</v>
      </c>
    </row>
    <row r="41" spans="3:9" x14ac:dyDescent="0.3">
      <c r="C41" s="21">
        <f t="shared" si="0"/>
        <v>2028</v>
      </c>
      <c r="D41" s="151">
        <v>17500</v>
      </c>
      <c r="E41" s="152">
        <v>46900</v>
      </c>
      <c r="F41" s="151">
        <v>829800</v>
      </c>
      <c r="G41" s="151">
        <v>59</v>
      </c>
    </row>
    <row r="42" spans="3:9" x14ac:dyDescent="0.3">
      <c r="C42" s="21">
        <f t="shared" si="0"/>
        <v>2029</v>
      </c>
      <c r="D42" s="151">
        <v>17700</v>
      </c>
      <c r="E42" s="152">
        <v>47600</v>
      </c>
      <c r="F42" s="151">
        <v>841200</v>
      </c>
      <c r="G42" s="151">
        <v>60</v>
      </c>
    </row>
    <row r="43" spans="3:9" x14ac:dyDescent="0.3">
      <c r="C43" s="21">
        <f t="shared" si="0"/>
        <v>2030</v>
      </c>
      <c r="D43" s="151">
        <v>18000</v>
      </c>
      <c r="E43" s="152">
        <v>48200</v>
      </c>
      <c r="F43" s="151">
        <v>852700</v>
      </c>
      <c r="G43" s="151">
        <v>61</v>
      </c>
    </row>
    <row r="44" spans="3:9" x14ac:dyDescent="0.3">
      <c r="C44" s="21">
        <f t="shared" si="0"/>
        <v>2031</v>
      </c>
      <c r="D44" s="151">
        <v>18000</v>
      </c>
      <c r="E44" s="152">
        <v>48200</v>
      </c>
      <c r="F44" s="151">
        <v>852700</v>
      </c>
      <c r="G44" s="151">
        <v>62</v>
      </c>
    </row>
    <row r="45" spans="3:9" x14ac:dyDescent="0.3">
      <c r="C45" s="21">
        <f t="shared" si="0"/>
        <v>2032</v>
      </c>
      <c r="D45" s="151">
        <v>18000</v>
      </c>
      <c r="E45" s="152">
        <v>48200</v>
      </c>
      <c r="F45" s="151">
        <v>852700</v>
      </c>
      <c r="G45" s="151">
        <v>63</v>
      </c>
    </row>
    <row r="46" spans="3:9" x14ac:dyDescent="0.3">
      <c r="C46" s="21">
        <f t="shared" si="0"/>
        <v>2033</v>
      </c>
      <c r="D46" s="151">
        <v>18000</v>
      </c>
      <c r="E46" s="152">
        <v>48200</v>
      </c>
      <c r="F46" s="151">
        <v>852700</v>
      </c>
      <c r="G46" s="151">
        <v>64</v>
      </c>
    </row>
    <row r="47" spans="3:9" x14ac:dyDescent="0.3">
      <c r="C47" s="21">
        <f t="shared" si="0"/>
        <v>2034</v>
      </c>
      <c r="D47" s="151">
        <v>18000</v>
      </c>
      <c r="E47" s="152">
        <v>48200</v>
      </c>
      <c r="F47" s="151">
        <v>852700</v>
      </c>
      <c r="G47" s="151">
        <v>66</v>
      </c>
    </row>
    <row r="48" spans="3:9" x14ac:dyDescent="0.3">
      <c r="C48" s="21">
        <f t="shared" si="0"/>
        <v>2035</v>
      </c>
      <c r="D48" s="151">
        <v>18000</v>
      </c>
      <c r="E48" s="152">
        <v>48200</v>
      </c>
      <c r="F48" s="151">
        <v>852700</v>
      </c>
      <c r="G48" s="151">
        <v>67</v>
      </c>
    </row>
    <row r="49" spans="3:7" x14ac:dyDescent="0.3">
      <c r="C49" s="21">
        <f t="shared" si="0"/>
        <v>2036</v>
      </c>
      <c r="D49" s="151">
        <v>18000</v>
      </c>
      <c r="E49" s="152">
        <v>48200</v>
      </c>
      <c r="F49" s="151">
        <v>852700</v>
      </c>
      <c r="G49" s="151">
        <v>68</v>
      </c>
    </row>
    <row r="50" spans="3:7" x14ac:dyDescent="0.3">
      <c r="C50" s="21">
        <f t="shared" si="0"/>
        <v>2037</v>
      </c>
      <c r="D50" s="151">
        <v>18000</v>
      </c>
      <c r="E50" s="152">
        <v>48200</v>
      </c>
      <c r="F50" s="151">
        <v>852700</v>
      </c>
      <c r="G50" s="151">
        <v>69</v>
      </c>
    </row>
    <row r="51" spans="3:7" x14ac:dyDescent="0.3">
      <c r="C51" s="21">
        <f t="shared" si="0"/>
        <v>2038</v>
      </c>
      <c r="D51" s="151">
        <v>18000</v>
      </c>
      <c r="E51" s="152">
        <v>48200</v>
      </c>
      <c r="F51" s="151">
        <v>852700</v>
      </c>
      <c r="G51" s="151">
        <v>70</v>
      </c>
    </row>
    <row r="52" spans="3:7" x14ac:dyDescent="0.3">
      <c r="C52" s="21">
        <f t="shared" si="0"/>
        <v>2039</v>
      </c>
      <c r="D52" s="151">
        <v>18000</v>
      </c>
      <c r="E52" s="152">
        <v>48200</v>
      </c>
      <c r="F52" s="151">
        <v>852700</v>
      </c>
      <c r="G52" s="151">
        <v>71</v>
      </c>
    </row>
    <row r="53" spans="3:7" x14ac:dyDescent="0.3">
      <c r="C53" s="21">
        <f t="shared" si="0"/>
        <v>2040</v>
      </c>
      <c r="D53" s="151">
        <v>18000</v>
      </c>
      <c r="E53" s="152">
        <v>48200</v>
      </c>
      <c r="F53" s="151">
        <v>852700</v>
      </c>
      <c r="G53" s="151">
        <v>72</v>
      </c>
    </row>
    <row r="54" spans="3:7" x14ac:dyDescent="0.3">
      <c r="C54" s="21">
        <f t="shared" si="0"/>
        <v>2041</v>
      </c>
      <c r="D54" s="151">
        <v>18000</v>
      </c>
      <c r="E54" s="152">
        <v>48200</v>
      </c>
      <c r="F54" s="151">
        <v>852700</v>
      </c>
      <c r="G54" s="151">
        <v>73</v>
      </c>
    </row>
    <row r="55" spans="3:7" x14ac:dyDescent="0.3">
      <c r="C55" s="21">
        <f t="shared" si="0"/>
        <v>2042</v>
      </c>
      <c r="D55" s="151">
        <v>18000</v>
      </c>
      <c r="E55" s="152">
        <v>48200</v>
      </c>
      <c r="F55" s="151">
        <v>852700</v>
      </c>
      <c r="G55" s="151">
        <v>75</v>
      </c>
    </row>
    <row r="56" spans="3:7" x14ac:dyDescent="0.3">
      <c r="C56" s="21">
        <f t="shared" si="0"/>
        <v>2043</v>
      </c>
      <c r="D56" s="151">
        <v>18000</v>
      </c>
      <c r="E56" s="152">
        <v>48200</v>
      </c>
      <c r="F56" s="151">
        <v>852700</v>
      </c>
      <c r="G56" s="151">
        <v>76</v>
      </c>
    </row>
    <row r="57" spans="3:7" x14ac:dyDescent="0.3">
      <c r="C57" s="21">
        <f t="shared" si="0"/>
        <v>2044</v>
      </c>
      <c r="D57" s="151">
        <v>18000</v>
      </c>
      <c r="E57" s="152">
        <v>48200</v>
      </c>
      <c r="F57" s="151">
        <v>852700</v>
      </c>
      <c r="G57" s="151">
        <v>77</v>
      </c>
    </row>
    <row r="58" spans="3:7" x14ac:dyDescent="0.3">
      <c r="C58" s="21">
        <f t="shared" si="0"/>
        <v>2045</v>
      </c>
      <c r="D58" s="151">
        <v>18000</v>
      </c>
      <c r="E58" s="152">
        <v>48200</v>
      </c>
      <c r="F58" s="151">
        <v>852700</v>
      </c>
      <c r="G58" s="151">
        <v>78</v>
      </c>
    </row>
    <row r="59" spans="3:7" x14ac:dyDescent="0.3">
      <c r="C59" s="21">
        <f t="shared" si="0"/>
        <v>2046</v>
      </c>
      <c r="D59" s="151">
        <v>18000</v>
      </c>
      <c r="E59" s="152">
        <v>48200</v>
      </c>
      <c r="F59" s="151">
        <v>852700</v>
      </c>
      <c r="G59" s="151">
        <v>79</v>
      </c>
    </row>
    <row r="60" spans="3:7" x14ac:dyDescent="0.3">
      <c r="C60" s="21">
        <f t="shared" si="0"/>
        <v>2047</v>
      </c>
      <c r="D60" s="151">
        <v>18000</v>
      </c>
      <c r="E60" s="152">
        <v>48200</v>
      </c>
      <c r="F60" s="151">
        <v>852700</v>
      </c>
      <c r="G60" s="151">
        <v>80</v>
      </c>
    </row>
    <row r="61" spans="3:7" x14ac:dyDescent="0.3">
      <c r="C61" s="21">
        <f t="shared" si="0"/>
        <v>2048</v>
      </c>
      <c r="D61" s="151">
        <v>18000</v>
      </c>
      <c r="E61" s="152">
        <v>48200</v>
      </c>
      <c r="F61" s="151">
        <v>852700</v>
      </c>
      <c r="G61" s="151">
        <v>81</v>
      </c>
    </row>
    <row r="62" spans="3:7" x14ac:dyDescent="0.3">
      <c r="C62" s="21">
        <f t="shared" si="0"/>
        <v>2049</v>
      </c>
      <c r="D62" s="151">
        <v>18000</v>
      </c>
      <c r="E62" s="152">
        <v>48200</v>
      </c>
      <c r="F62" s="151">
        <v>852700</v>
      </c>
      <c r="G62" s="151">
        <v>83</v>
      </c>
    </row>
    <row r="63" spans="3:7" x14ac:dyDescent="0.3">
      <c r="C63" s="21">
        <f>C62+1</f>
        <v>2050</v>
      </c>
      <c r="D63" s="151">
        <v>18000</v>
      </c>
      <c r="E63" s="152">
        <v>48200</v>
      </c>
      <c r="F63" s="151">
        <v>852700</v>
      </c>
      <c r="G63" s="151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42"/>
  <sheetViews>
    <sheetView zoomScale="90" zoomScaleNormal="90" workbookViewId="0"/>
  </sheetViews>
  <sheetFormatPr defaultColWidth="9" defaultRowHeight="14.5" x14ac:dyDescent="0.35"/>
  <cols>
    <col min="1" max="1" width="24" style="3" customWidth="1"/>
    <col min="2" max="2" width="11.61328125" style="9" bestFit="1" customWidth="1"/>
    <col min="3" max="3" width="15.23046875" style="3" customWidth="1"/>
    <col min="4" max="4" width="14.84375" style="3" customWidth="1"/>
    <col min="5" max="5" width="13.84375" style="3" customWidth="1"/>
    <col min="6" max="6" width="12.765625" style="3" customWidth="1"/>
    <col min="7" max="7" width="13.61328125" style="3" bestFit="1" customWidth="1"/>
    <col min="8" max="8" width="13.61328125" style="3" customWidth="1"/>
    <col min="9" max="9" width="13.61328125" style="3" bestFit="1" customWidth="1"/>
    <col min="10" max="11" width="13.61328125" style="3" customWidth="1"/>
    <col min="12" max="12" width="14.765625" style="3" bestFit="1" customWidth="1"/>
    <col min="13" max="13" width="14.23046875" style="3" customWidth="1"/>
    <col min="14" max="14" width="14.61328125" style="3" bestFit="1" customWidth="1"/>
    <col min="15" max="15" width="18.4609375" style="3" customWidth="1"/>
    <col min="16" max="16" width="13.3828125" style="3" bestFit="1" customWidth="1"/>
    <col min="17" max="17" width="11.61328125" style="3" bestFit="1" customWidth="1"/>
    <col min="18" max="16384" width="9" style="3"/>
  </cols>
  <sheetData>
    <row r="1" spans="1:17" ht="18.5" x14ac:dyDescent="0.45">
      <c r="A1" s="15" t="s">
        <v>19</v>
      </c>
      <c r="B1" s="16"/>
      <c r="C1" s="16"/>
      <c r="D1" s="16"/>
    </row>
    <row r="2" spans="1:17" x14ac:dyDescent="0.35">
      <c r="A2" s="123" t="s">
        <v>49</v>
      </c>
      <c r="B2" s="10"/>
      <c r="C2" s="36"/>
      <c r="D2" s="10"/>
    </row>
    <row r="3" spans="1:17" x14ac:dyDescent="0.35">
      <c r="A3" s="74" t="s">
        <v>11</v>
      </c>
      <c r="B3" s="150" t="s">
        <v>67</v>
      </c>
      <c r="C3" s="99"/>
      <c r="D3" s="109" t="s">
        <v>37</v>
      </c>
      <c r="E3" s="109" t="s">
        <v>40</v>
      </c>
      <c r="L3" s="87"/>
    </row>
    <row r="4" spans="1:17" x14ac:dyDescent="0.35">
      <c r="A4" s="37" t="s">
        <v>12</v>
      </c>
      <c r="B4" s="86">
        <f>'Monitized Values'!C3</f>
        <v>17.899999999999999</v>
      </c>
      <c r="C4" s="100"/>
      <c r="D4" s="111" t="s">
        <v>39</v>
      </c>
      <c r="E4" s="110">
        <f>'Monitized Values'!D27</f>
        <v>1.67</v>
      </c>
    </row>
    <row r="5" spans="1:17" x14ac:dyDescent="0.35">
      <c r="A5" s="37" t="s">
        <v>13</v>
      </c>
      <c r="B5" s="86">
        <f>'Monitized Values'!C4</f>
        <v>30.8</v>
      </c>
      <c r="C5" s="100"/>
      <c r="D5" s="111" t="s">
        <v>38</v>
      </c>
      <c r="E5" s="110">
        <f>'Monitized Values'!D28</f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x14ac:dyDescent="0.35">
      <c r="A6" s="39"/>
      <c r="B6" s="35"/>
      <c r="C6" s="35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7" ht="43.5" x14ac:dyDescent="0.35">
      <c r="A7" s="55" t="s">
        <v>0</v>
      </c>
      <c r="B7" s="55" t="s">
        <v>5</v>
      </c>
      <c r="C7" s="56" t="s">
        <v>32</v>
      </c>
      <c r="D7" s="56" t="s">
        <v>33</v>
      </c>
      <c r="E7" s="56" t="s">
        <v>34</v>
      </c>
      <c r="F7" s="56" t="s">
        <v>35</v>
      </c>
      <c r="G7" s="56" t="s">
        <v>9</v>
      </c>
      <c r="H7" s="56" t="s">
        <v>42</v>
      </c>
      <c r="I7" s="56" t="s">
        <v>10</v>
      </c>
      <c r="J7" s="56" t="s">
        <v>21</v>
      </c>
      <c r="K7" s="56" t="s">
        <v>20</v>
      </c>
      <c r="L7" s="56" t="s">
        <v>41</v>
      </c>
      <c r="M7" s="56" t="s">
        <v>6</v>
      </c>
      <c r="N7" s="56" t="s">
        <v>7</v>
      </c>
      <c r="O7" s="82" t="s">
        <v>56</v>
      </c>
    </row>
    <row r="8" spans="1:17" x14ac:dyDescent="0.35">
      <c r="A8" s="12">
        <v>2019</v>
      </c>
      <c r="B8" s="8">
        <v>0</v>
      </c>
      <c r="C8" s="78"/>
      <c r="D8" s="80"/>
      <c r="E8" s="80"/>
      <c r="F8" s="80"/>
      <c r="G8" s="27">
        <f>C8-E8</f>
        <v>0</v>
      </c>
      <c r="H8" s="27">
        <f>G8*$E$4</f>
        <v>0</v>
      </c>
      <c r="I8" s="27">
        <f>D8-F8</f>
        <v>0</v>
      </c>
      <c r="J8" s="27">
        <f>B$4</f>
        <v>17.899999999999999</v>
      </c>
      <c r="K8" s="27">
        <f>B$5</f>
        <v>30.8</v>
      </c>
      <c r="L8" s="13">
        <f>H8*J8</f>
        <v>0</v>
      </c>
      <c r="M8" s="14">
        <f>I8*K8</f>
        <v>0</v>
      </c>
      <c r="N8" s="14">
        <f>L8+M8</f>
        <v>0</v>
      </c>
      <c r="O8" s="24">
        <f>N8/((1.07)^B8)</f>
        <v>0</v>
      </c>
    </row>
    <row r="9" spans="1:17" x14ac:dyDescent="0.35">
      <c r="A9" s="12">
        <f>A8+1</f>
        <v>2020</v>
      </c>
      <c r="B9" s="8">
        <v>1</v>
      </c>
      <c r="C9" s="78"/>
      <c r="D9" s="80"/>
      <c r="E9" s="80"/>
      <c r="F9" s="80"/>
      <c r="G9" s="8">
        <f t="shared" ref="G9:G29" si="0">C9-E9</f>
        <v>0</v>
      </c>
      <c r="H9" s="27">
        <f t="shared" ref="H9:H32" si="1">G9*$E$4</f>
        <v>0</v>
      </c>
      <c r="I9" s="8">
        <f t="shared" ref="I9:I29" si="2">D9-F9</f>
        <v>0</v>
      </c>
      <c r="J9" s="27">
        <f>B$4</f>
        <v>17.899999999999999</v>
      </c>
      <c r="K9" s="27">
        <f t="shared" ref="K9:K32" si="3">B$5</f>
        <v>30.8</v>
      </c>
      <c r="L9" s="13">
        <f t="shared" ref="L9:L32" si="4">H9*J9</f>
        <v>0</v>
      </c>
      <c r="M9" s="14">
        <f t="shared" ref="M9:M28" si="5">I9*K9</f>
        <v>0</v>
      </c>
      <c r="N9" s="14">
        <f t="shared" ref="N9:N28" si="6">L9+M9</f>
        <v>0</v>
      </c>
      <c r="O9" s="24">
        <f t="shared" ref="O9:O29" si="7">N9/((1.07)^B9)</f>
        <v>0</v>
      </c>
    </row>
    <row r="10" spans="1:17" x14ac:dyDescent="0.35">
      <c r="A10" s="12">
        <f t="shared" ref="A10:A35" si="8">A9+1</f>
        <v>2021</v>
      </c>
      <c r="B10" s="8">
        <v>2</v>
      </c>
      <c r="C10" s="78"/>
      <c r="D10" s="80"/>
      <c r="E10" s="80"/>
      <c r="F10" s="80"/>
      <c r="G10" s="8">
        <f t="shared" si="0"/>
        <v>0</v>
      </c>
      <c r="H10" s="27">
        <f t="shared" si="1"/>
        <v>0</v>
      </c>
      <c r="I10" s="8">
        <f t="shared" si="2"/>
        <v>0</v>
      </c>
      <c r="J10" s="27">
        <f t="shared" ref="J10:J32" si="9">B$4</f>
        <v>17.899999999999999</v>
      </c>
      <c r="K10" s="27">
        <f t="shared" si="3"/>
        <v>30.8</v>
      </c>
      <c r="L10" s="13">
        <f t="shared" si="4"/>
        <v>0</v>
      </c>
      <c r="M10" s="14">
        <f t="shared" si="5"/>
        <v>0</v>
      </c>
      <c r="N10" s="14">
        <f t="shared" si="6"/>
        <v>0</v>
      </c>
      <c r="O10" s="24">
        <f t="shared" si="7"/>
        <v>0</v>
      </c>
    </row>
    <row r="11" spans="1:17" x14ac:dyDescent="0.35">
      <c r="A11" s="12">
        <f t="shared" si="8"/>
        <v>2022</v>
      </c>
      <c r="B11" s="8">
        <v>3</v>
      </c>
      <c r="C11" s="78"/>
      <c r="D11" s="80"/>
      <c r="E11" s="80"/>
      <c r="F11" s="80"/>
      <c r="G11" s="8">
        <f t="shared" si="0"/>
        <v>0</v>
      </c>
      <c r="H11" s="27">
        <f t="shared" si="1"/>
        <v>0</v>
      </c>
      <c r="I11" s="8">
        <f t="shared" si="2"/>
        <v>0</v>
      </c>
      <c r="J11" s="27">
        <f t="shared" si="9"/>
        <v>17.899999999999999</v>
      </c>
      <c r="K11" s="27">
        <f t="shared" si="3"/>
        <v>30.8</v>
      </c>
      <c r="L11" s="13">
        <f t="shared" si="4"/>
        <v>0</v>
      </c>
      <c r="M11" s="14">
        <f t="shared" si="5"/>
        <v>0</v>
      </c>
      <c r="N11" s="14">
        <f t="shared" si="6"/>
        <v>0</v>
      </c>
      <c r="O11" s="24">
        <f t="shared" si="7"/>
        <v>0</v>
      </c>
    </row>
    <row r="12" spans="1:17" x14ac:dyDescent="0.35">
      <c r="A12" s="12">
        <f t="shared" si="8"/>
        <v>2023</v>
      </c>
      <c r="B12" s="8">
        <v>4</v>
      </c>
      <c r="C12" s="78"/>
      <c r="D12" s="80"/>
      <c r="E12" s="80"/>
      <c r="F12" s="80"/>
      <c r="G12" s="8">
        <f t="shared" si="0"/>
        <v>0</v>
      </c>
      <c r="H12" s="27">
        <f t="shared" si="1"/>
        <v>0</v>
      </c>
      <c r="I12" s="8">
        <f t="shared" si="2"/>
        <v>0</v>
      </c>
      <c r="J12" s="27">
        <f t="shared" si="9"/>
        <v>17.899999999999999</v>
      </c>
      <c r="K12" s="27">
        <f t="shared" si="3"/>
        <v>30.8</v>
      </c>
      <c r="L12" s="13">
        <f t="shared" si="4"/>
        <v>0</v>
      </c>
      <c r="M12" s="14">
        <f t="shared" si="5"/>
        <v>0</v>
      </c>
      <c r="N12" s="14">
        <f t="shared" si="6"/>
        <v>0</v>
      </c>
      <c r="O12" s="24">
        <f t="shared" si="7"/>
        <v>0</v>
      </c>
    </row>
    <row r="13" spans="1:17" x14ac:dyDescent="0.35">
      <c r="A13" s="12">
        <f t="shared" si="8"/>
        <v>2024</v>
      </c>
      <c r="B13" s="8">
        <v>5</v>
      </c>
      <c r="C13" s="78"/>
      <c r="D13" s="80"/>
      <c r="E13" s="80"/>
      <c r="F13" s="80"/>
      <c r="G13" s="8">
        <f t="shared" si="0"/>
        <v>0</v>
      </c>
      <c r="H13" s="27">
        <f t="shared" si="1"/>
        <v>0</v>
      </c>
      <c r="I13" s="8">
        <f t="shared" si="2"/>
        <v>0</v>
      </c>
      <c r="J13" s="27">
        <f t="shared" si="9"/>
        <v>17.899999999999999</v>
      </c>
      <c r="K13" s="27">
        <f t="shared" si="3"/>
        <v>30.8</v>
      </c>
      <c r="L13" s="13">
        <f t="shared" si="4"/>
        <v>0</v>
      </c>
      <c r="M13" s="14">
        <f t="shared" si="5"/>
        <v>0</v>
      </c>
      <c r="N13" s="14">
        <f t="shared" si="6"/>
        <v>0</v>
      </c>
      <c r="O13" s="24">
        <f t="shared" si="7"/>
        <v>0</v>
      </c>
    </row>
    <row r="14" spans="1:17" x14ac:dyDescent="0.35">
      <c r="A14" s="12">
        <f t="shared" si="8"/>
        <v>2025</v>
      </c>
      <c r="B14" s="8">
        <v>6</v>
      </c>
      <c r="C14" s="78"/>
      <c r="D14" s="80"/>
      <c r="E14" s="80"/>
      <c r="F14" s="80"/>
      <c r="G14" s="8">
        <f t="shared" si="0"/>
        <v>0</v>
      </c>
      <c r="H14" s="27">
        <f t="shared" si="1"/>
        <v>0</v>
      </c>
      <c r="I14" s="8">
        <f t="shared" si="2"/>
        <v>0</v>
      </c>
      <c r="J14" s="27">
        <f t="shared" si="9"/>
        <v>17.899999999999999</v>
      </c>
      <c r="K14" s="27">
        <f t="shared" si="3"/>
        <v>30.8</v>
      </c>
      <c r="L14" s="13">
        <f t="shared" si="4"/>
        <v>0</v>
      </c>
      <c r="M14" s="14">
        <f t="shared" si="5"/>
        <v>0</v>
      </c>
      <c r="N14" s="14">
        <f t="shared" si="6"/>
        <v>0</v>
      </c>
      <c r="O14" s="24">
        <f t="shared" si="7"/>
        <v>0</v>
      </c>
    </row>
    <row r="15" spans="1:17" x14ac:dyDescent="0.35">
      <c r="A15" s="12">
        <f t="shared" si="8"/>
        <v>2026</v>
      </c>
      <c r="B15" s="8">
        <v>7</v>
      </c>
      <c r="C15" s="78">
        <v>2001952385.5999999</v>
      </c>
      <c r="D15" s="80">
        <v>60937387</v>
      </c>
      <c r="E15" s="80">
        <v>2001323854.4000001</v>
      </c>
      <c r="F15" s="80">
        <v>60902380.799999997</v>
      </c>
      <c r="G15" s="8">
        <f t="shared" si="0"/>
        <v>628531.19999980927</v>
      </c>
      <c r="H15" s="27">
        <f t="shared" si="1"/>
        <v>1049647.1039996815</v>
      </c>
      <c r="I15" s="8">
        <f t="shared" si="2"/>
        <v>35006.20000000298</v>
      </c>
      <c r="J15" s="27">
        <f t="shared" si="9"/>
        <v>17.899999999999999</v>
      </c>
      <c r="K15" s="27">
        <f t="shared" si="3"/>
        <v>30.8</v>
      </c>
      <c r="L15" s="13">
        <f t="shared" si="4"/>
        <v>18788683.161594298</v>
      </c>
      <c r="M15" s="14">
        <f t="shared" si="5"/>
        <v>1078190.9600000919</v>
      </c>
      <c r="N15" s="14">
        <f t="shared" si="6"/>
        <v>19866874.121594388</v>
      </c>
      <c r="O15" s="24">
        <f t="shared" si="7"/>
        <v>12372090.731276568</v>
      </c>
      <c r="P15" s="189">
        <f>L15/(1.07^B15)</f>
        <v>11700647.589234212</v>
      </c>
      <c r="Q15" s="189">
        <f>M15/(1.07^B15)</f>
        <v>671443.14204235678</v>
      </c>
    </row>
    <row r="16" spans="1:17" x14ac:dyDescent="0.35">
      <c r="A16" s="12">
        <f t="shared" si="8"/>
        <v>2027</v>
      </c>
      <c r="B16" s="8">
        <v>8</v>
      </c>
      <c r="C16" s="78">
        <v>2024855624.7</v>
      </c>
      <c r="D16" s="80">
        <v>61197636.5</v>
      </c>
      <c r="E16" s="80">
        <v>2024229555.3</v>
      </c>
      <c r="F16" s="80">
        <v>61162232.600000001</v>
      </c>
      <c r="G16" s="8">
        <f t="shared" si="0"/>
        <v>626069.40000009537</v>
      </c>
      <c r="H16" s="27">
        <f t="shared" si="1"/>
        <v>1045535.8980001592</v>
      </c>
      <c r="I16" s="8">
        <f t="shared" si="2"/>
        <v>35403.89999999851</v>
      </c>
      <c r="J16" s="27">
        <f t="shared" si="9"/>
        <v>17.899999999999999</v>
      </c>
      <c r="K16" s="27">
        <f t="shared" si="3"/>
        <v>30.8</v>
      </c>
      <c r="L16" s="13">
        <f t="shared" si="4"/>
        <v>18715092.574202847</v>
      </c>
      <c r="M16" s="14">
        <f t="shared" si="5"/>
        <v>1090440.1199999542</v>
      </c>
      <c r="N16" s="14">
        <f t="shared" si="6"/>
        <v>19805532.694202799</v>
      </c>
      <c r="O16" s="24">
        <f t="shared" si="7"/>
        <v>11527000.348786565</v>
      </c>
      <c r="P16" s="189">
        <f t="shared" ref="P16:P37" si="10">L16/(1.07^B16)</f>
        <v>10892354.2709636</v>
      </c>
      <c r="Q16" s="189">
        <f t="shared" ref="Q16:Q37" si="11">M16/(1.07^B16)</f>
        <v>634646.07782296638</v>
      </c>
    </row>
    <row r="17" spans="1:17" x14ac:dyDescent="0.35">
      <c r="A17" s="12">
        <f t="shared" si="8"/>
        <v>2028</v>
      </c>
      <c r="B17" s="8">
        <v>9</v>
      </c>
      <c r="C17" s="78">
        <v>2047758863.8</v>
      </c>
      <c r="D17" s="80">
        <v>61457886</v>
      </c>
      <c r="E17" s="80">
        <v>2047135256.2</v>
      </c>
      <c r="F17" s="80">
        <v>61422084.399999999</v>
      </c>
      <c r="G17" s="8">
        <f t="shared" si="0"/>
        <v>623607.59999990463</v>
      </c>
      <c r="H17" s="27">
        <f t="shared" si="1"/>
        <v>1041424.6919998407</v>
      </c>
      <c r="I17" s="8">
        <f t="shared" si="2"/>
        <v>35801.60000000149</v>
      </c>
      <c r="J17" s="27">
        <f t="shared" si="9"/>
        <v>17.899999999999999</v>
      </c>
      <c r="K17" s="27">
        <f t="shared" si="3"/>
        <v>30.8</v>
      </c>
      <c r="L17" s="13">
        <f t="shared" si="4"/>
        <v>18641501.986797146</v>
      </c>
      <c r="M17" s="14">
        <f t="shared" si="5"/>
        <v>1102689.2800000459</v>
      </c>
      <c r="N17" s="14">
        <f t="shared" si="6"/>
        <v>19744191.266797192</v>
      </c>
      <c r="O17" s="24">
        <f t="shared" si="7"/>
        <v>10739531.850046247</v>
      </c>
      <c r="P17" s="189">
        <f t="shared" si="10"/>
        <v>10139741.943068402</v>
      </c>
      <c r="Q17" s="189">
        <f t="shared" si="11"/>
        <v>599789.90697784442</v>
      </c>
    </row>
    <row r="18" spans="1:17" x14ac:dyDescent="0.35">
      <c r="A18" s="12">
        <f t="shared" si="8"/>
        <v>2029</v>
      </c>
      <c r="B18" s="8">
        <v>10</v>
      </c>
      <c r="C18" s="78">
        <v>2070662102.9000001</v>
      </c>
      <c r="D18" s="80">
        <v>61718135.5</v>
      </c>
      <c r="E18" s="80">
        <v>2070040957.0999999</v>
      </c>
      <c r="F18" s="80">
        <v>61681936.200000003</v>
      </c>
      <c r="G18" s="8">
        <f t="shared" si="0"/>
        <v>621145.80000019073</v>
      </c>
      <c r="H18" s="27">
        <f t="shared" si="1"/>
        <v>1037313.4860003184</v>
      </c>
      <c r="I18" s="8">
        <f t="shared" si="2"/>
        <v>36199.29999999702</v>
      </c>
      <c r="J18" s="27">
        <f t="shared" si="9"/>
        <v>17.899999999999999</v>
      </c>
      <c r="K18" s="27">
        <f t="shared" si="3"/>
        <v>30.8</v>
      </c>
      <c r="L18" s="13">
        <f t="shared" si="4"/>
        <v>18567911.399405699</v>
      </c>
      <c r="M18" s="14">
        <f t="shared" si="5"/>
        <v>1114938.4399999082</v>
      </c>
      <c r="N18" s="14">
        <f t="shared" si="6"/>
        <v>19682849.839405607</v>
      </c>
      <c r="O18" s="24">
        <f t="shared" si="7"/>
        <v>10005762.783055784</v>
      </c>
      <c r="P18" s="189">
        <f t="shared" si="10"/>
        <v>9438984.6163080446</v>
      </c>
      <c r="Q18" s="189">
        <f t="shared" si="11"/>
        <v>566778.16674773989</v>
      </c>
    </row>
    <row r="19" spans="1:17" x14ac:dyDescent="0.35">
      <c r="A19" s="12">
        <f t="shared" si="8"/>
        <v>2030</v>
      </c>
      <c r="B19" s="8">
        <v>11</v>
      </c>
      <c r="C19" s="78">
        <v>2093565342</v>
      </c>
      <c r="D19" s="80">
        <v>61978385</v>
      </c>
      <c r="E19" s="80">
        <v>2092946658</v>
      </c>
      <c r="F19" s="80">
        <v>61941788</v>
      </c>
      <c r="G19" s="8">
        <f t="shared" si="0"/>
        <v>618684</v>
      </c>
      <c r="H19" s="27">
        <f t="shared" si="1"/>
        <v>1033202.2799999999</v>
      </c>
      <c r="I19" s="8">
        <f t="shared" si="2"/>
        <v>36597</v>
      </c>
      <c r="J19" s="27">
        <f t="shared" si="9"/>
        <v>17.899999999999999</v>
      </c>
      <c r="K19" s="27">
        <f t="shared" si="3"/>
        <v>30.8</v>
      </c>
      <c r="L19" s="13">
        <f t="shared" si="4"/>
        <v>18494320.811999995</v>
      </c>
      <c r="M19" s="14">
        <f t="shared" si="5"/>
        <v>1127187.6000000001</v>
      </c>
      <c r="N19" s="14">
        <f t="shared" si="6"/>
        <v>19621508.411999997</v>
      </c>
      <c r="O19" s="24">
        <f t="shared" si="7"/>
        <v>9322037.3007996324</v>
      </c>
      <c r="P19" s="189">
        <f t="shared" si="10"/>
        <v>8786518.5918622203</v>
      </c>
      <c r="Q19" s="189">
        <f t="shared" si="11"/>
        <v>535518.70893741248</v>
      </c>
    </row>
    <row r="20" spans="1:17" x14ac:dyDescent="0.35">
      <c r="A20" s="12">
        <f t="shared" si="8"/>
        <v>2031</v>
      </c>
      <c r="B20" s="8">
        <v>12</v>
      </c>
      <c r="C20" s="78">
        <v>2116468581.0999999</v>
      </c>
      <c r="D20" s="80">
        <v>62238634.5</v>
      </c>
      <c r="E20" s="80">
        <v>2115852358.9000001</v>
      </c>
      <c r="F20" s="80">
        <v>62201639.799999997</v>
      </c>
      <c r="G20" s="8">
        <f t="shared" si="0"/>
        <v>616222.19999980927</v>
      </c>
      <c r="H20" s="27">
        <f t="shared" si="1"/>
        <v>1029091.0739996814</v>
      </c>
      <c r="I20" s="8">
        <f t="shared" si="2"/>
        <v>36994.70000000298</v>
      </c>
      <c r="J20" s="27">
        <f t="shared" si="9"/>
        <v>17.899999999999999</v>
      </c>
      <c r="K20" s="27">
        <f t="shared" si="3"/>
        <v>30.8</v>
      </c>
      <c r="L20" s="13">
        <f t="shared" si="4"/>
        <v>18420730.224594295</v>
      </c>
      <c r="M20" s="14">
        <f t="shared" si="5"/>
        <v>1139436.7600000917</v>
      </c>
      <c r="N20" s="14">
        <f t="shared" si="6"/>
        <v>19560166.984594386</v>
      </c>
      <c r="O20" s="24">
        <f t="shared" si="7"/>
        <v>8684948.0659056976</v>
      </c>
      <c r="P20" s="189">
        <f t="shared" si="10"/>
        <v>8179024.5176671427</v>
      </c>
      <c r="Q20" s="189">
        <f t="shared" si="11"/>
        <v>505923.54823855619</v>
      </c>
    </row>
    <row r="21" spans="1:17" x14ac:dyDescent="0.35">
      <c r="A21" s="12">
        <f t="shared" si="8"/>
        <v>2032</v>
      </c>
      <c r="B21" s="8">
        <v>13</v>
      </c>
      <c r="C21" s="78">
        <v>2139371820.2</v>
      </c>
      <c r="D21" s="80">
        <v>62498884</v>
      </c>
      <c r="E21" s="80">
        <v>2138758059.8</v>
      </c>
      <c r="F21" s="80">
        <v>62461491.600000001</v>
      </c>
      <c r="G21" s="8">
        <f t="shared" si="0"/>
        <v>613760.40000009537</v>
      </c>
      <c r="H21" s="27">
        <f t="shared" si="1"/>
        <v>1024979.8680001593</v>
      </c>
      <c r="I21" s="8">
        <f t="shared" si="2"/>
        <v>37392.39999999851</v>
      </c>
      <c r="J21" s="27">
        <f t="shared" si="9"/>
        <v>17.899999999999999</v>
      </c>
      <c r="K21" s="27">
        <f t="shared" si="3"/>
        <v>30.8</v>
      </c>
      <c r="L21" s="13">
        <f t="shared" si="4"/>
        <v>18347139.637202848</v>
      </c>
      <c r="M21" s="14">
        <f t="shared" si="5"/>
        <v>1151685.9199999541</v>
      </c>
      <c r="N21" s="14">
        <f t="shared" si="6"/>
        <v>19498825.557202801</v>
      </c>
      <c r="O21" s="24">
        <f t="shared" si="7"/>
        <v>8091319.3818195676</v>
      </c>
      <c r="P21" s="189">
        <f t="shared" si="10"/>
        <v>7613410.6698857844</v>
      </c>
      <c r="Q21" s="189">
        <f t="shared" si="11"/>
        <v>477908.71193378343</v>
      </c>
    </row>
    <row r="22" spans="1:17" x14ac:dyDescent="0.35">
      <c r="A22" s="12">
        <f t="shared" si="8"/>
        <v>2033</v>
      </c>
      <c r="B22" s="8">
        <v>14</v>
      </c>
      <c r="C22" s="78">
        <v>2162275059.3000002</v>
      </c>
      <c r="D22" s="80">
        <v>62759133.5</v>
      </c>
      <c r="E22" s="80">
        <v>2161663760.6999998</v>
      </c>
      <c r="F22" s="80">
        <v>62721343.399999999</v>
      </c>
      <c r="G22" s="8">
        <f t="shared" si="0"/>
        <v>611298.60000038147</v>
      </c>
      <c r="H22" s="27">
        <f t="shared" si="1"/>
        <v>1020868.662000637</v>
      </c>
      <c r="I22" s="8">
        <f t="shared" si="2"/>
        <v>37790.10000000149</v>
      </c>
      <c r="J22" s="27">
        <f t="shared" si="9"/>
        <v>17.899999999999999</v>
      </c>
      <c r="K22" s="27">
        <f t="shared" si="3"/>
        <v>30.8</v>
      </c>
      <c r="L22" s="13">
        <f t="shared" si="4"/>
        <v>18273549.0498114</v>
      </c>
      <c r="M22" s="14">
        <f t="shared" si="5"/>
        <v>1163935.0800000459</v>
      </c>
      <c r="N22" s="14">
        <f t="shared" si="6"/>
        <v>19437484.129811447</v>
      </c>
      <c r="O22" s="24">
        <f t="shared" si="7"/>
        <v>7538191.467541514</v>
      </c>
      <c r="P22" s="189">
        <f t="shared" si="10"/>
        <v>7086797.3760926165</v>
      </c>
      <c r="Q22" s="189">
        <f t="shared" si="11"/>
        <v>451394.09144889715</v>
      </c>
    </row>
    <row r="23" spans="1:17" x14ac:dyDescent="0.35">
      <c r="A23" s="12">
        <f t="shared" si="8"/>
        <v>2034</v>
      </c>
      <c r="B23" s="8">
        <v>15</v>
      </c>
      <c r="C23" s="78">
        <v>2185178298.4000001</v>
      </c>
      <c r="D23" s="80">
        <v>63019383</v>
      </c>
      <c r="E23" s="80">
        <v>2184569461.5999999</v>
      </c>
      <c r="F23" s="80">
        <v>62981195.200000003</v>
      </c>
      <c r="G23" s="8">
        <f t="shared" si="0"/>
        <v>608836.80000019073</v>
      </c>
      <c r="H23" s="27">
        <f t="shared" si="1"/>
        <v>1016757.4560003185</v>
      </c>
      <c r="I23" s="8">
        <f t="shared" si="2"/>
        <v>38187.79999999702</v>
      </c>
      <c r="J23" s="27">
        <f t="shared" si="9"/>
        <v>17.899999999999999</v>
      </c>
      <c r="K23" s="27">
        <f t="shared" si="3"/>
        <v>30.8</v>
      </c>
      <c r="L23" s="13">
        <f t="shared" si="4"/>
        <v>18199958.4624057</v>
      </c>
      <c r="M23" s="14">
        <f t="shared" si="5"/>
        <v>1176184.2399999083</v>
      </c>
      <c r="N23" s="14">
        <f t="shared" si="6"/>
        <v>19376142.702405609</v>
      </c>
      <c r="O23" s="24">
        <f t="shared" si="7"/>
        <v>7022805.7985092672</v>
      </c>
      <c r="P23" s="189">
        <f t="shared" si="10"/>
        <v>6596502.5023552263</v>
      </c>
      <c r="Q23" s="189">
        <f t="shared" si="11"/>
        <v>426303.29615404061</v>
      </c>
    </row>
    <row r="24" spans="1:17" x14ac:dyDescent="0.35">
      <c r="A24" s="12">
        <f t="shared" si="8"/>
        <v>2035</v>
      </c>
      <c r="B24" s="8">
        <v>16</v>
      </c>
      <c r="C24" s="78">
        <v>2208081537.5</v>
      </c>
      <c r="D24" s="80">
        <v>63279632.5</v>
      </c>
      <c r="E24" s="80">
        <v>2207475162.5</v>
      </c>
      <c r="F24" s="80">
        <v>63241047</v>
      </c>
      <c r="G24" s="8">
        <f t="shared" si="0"/>
        <v>606375</v>
      </c>
      <c r="H24" s="27">
        <f t="shared" si="1"/>
        <v>1012646.25</v>
      </c>
      <c r="I24" s="8">
        <f t="shared" si="2"/>
        <v>38585.5</v>
      </c>
      <c r="J24" s="27">
        <f t="shared" si="9"/>
        <v>17.899999999999999</v>
      </c>
      <c r="K24" s="27">
        <f t="shared" si="3"/>
        <v>30.8</v>
      </c>
      <c r="L24" s="13">
        <f t="shared" si="4"/>
        <v>18126367.875</v>
      </c>
      <c r="M24" s="14">
        <f t="shared" si="5"/>
        <v>1188433.4000000001</v>
      </c>
      <c r="N24" s="14">
        <f t="shared" si="6"/>
        <v>19314801.274999999</v>
      </c>
      <c r="O24" s="24">
        <f t="shared" si="7"/>
        <v>6542591.4414083399</v>
      </c>
      <c r="P24" s="189">
        <f t="shared" si="10"/>
        <v>6140027.931651297</v>
      </c>
      <c r="Q24" s="189">
        <f t="shared" si="11"/>
        <v>402563.50975704339</v>
      </c>
    </row>
    <row r="25" spans="1:17" x14ac:dyDescent="0.35">
      <c r="A25" s="12">
        <f t="shared" si="8"/>
        <v>2036</v>
      </c>
      <c r="B25" s="8">
        <v>17</v>
      </c>
      <c r="C25" s="78">
        <v>2230984776.5999999</v>
      </c>
      <c r="D25" s="80">
        <v>63539882</v>
      </c>
      <c r="E25" s="80">
        <v>2230380863.4000001</v>
      </c>
      <c r="F25" s="80">
        <v>63500898.799999997</v>
      </c>
      <c r="G25" s="8">
        <f t="shared" si="0"/>
        <v>603913.19999980927</v>
      </c>
      <c r="H25" s="27">
        <f t="shared" si="1"/>
        <v>1008535.0439996815</v>
      </c>
      <c r="I25" s="8">
        <f t="shared" si="2"/>
        <v>38983.20000000298</v>
      </c>
      <c r="J25" s="27">
        <f t="shared" si="9"/>
        <v>17.899999999999999</v>
      </c>
      <c r="K25" s="27">
        <f t="shared" si="3"/>
        <v>30.8</v>
      </c>
      <c r="L25" s="13">
        <f t="shared" si="4"/>
        <v>18052777.287594296</v>
      </c>
      <c r="M25" s="14">
        <f t="shared" si="5"/>
        <v>1200682.5600000918</v>
      </c>
      <c r="N25" s="14">
        <f t="shared" si="6"/>
        <v>19253459.847594388</v>
      </c>
      <c r="O25" s="24">
        <f t="shared" si="7"/>
        <v>6095152.315577413</v>
      </c>
      <c r="P25" s="189">
        <f t="shared" si="10"/>
        <v>5715046.9660044964</v>
      </c>
      <c r="Q25" s="189">
        <f t="shared" si="11"/>
        <v>380105.34957291646</v>
      </c>
    </row>
    <row r="26" spans="1:17" x14ac:dyDescent="0.35">
      <c r="A26" s="12">
        <f t="shared" si="8"/>
        <v>2037</v>
      </c>
      <c r="B26" s="8">
        <v>18</v>
      </c>
      <c r="C26" s="78">
        <v>2253888015.6999998</v>
      </c>
      <c r="D26" s="80">
        <v>63800131.5</v>
      </c>
      <c r="E26" s="80">
        <v>2253286564.3000002</v>
      </c>
      <c r="F26" s="80">
        <v>63760750.600000001</v>
      </c>
      <c r="G26" s="8">
        <f t="shared" si="0"/>
        <v>601451.39999961853</v>
      </c>
      <c r="H26" s="27">
        <f t="shared" si="1"/>
        <v>1004423.8379993628</v>
      </c>
      <c r="I26" s="8">
        <f t="shared" si="2"/>
        <v>39380.89999999851</v>
      </c>
      <c r="J26" s="27">
        <f t="shared" si="9"/>
        <v>17.899999999999999</v>
      </c>
      <c r="K26" s="27">
        <f t="shared" si="3"/>
        <v>30.8</v>
      </c>
      <c r="L26" s="13">
        <f t="shared" si="4"/>
        <v>17979186.700188592</v>
      </c>
      <c r="M26" s="14">
        <f t="shared" si="5"/>
        <v>1212931.7199999541</v>
      </c>
      <c r="N26" s="14">
        <f t="shared" si="6"/>
        <v>19192118.420188546</v>
      </c>
      <c r="O26" s="24">
        <f t="shared" si="7"/>
        <v>5678255.3183048684</v>
      </c>
      <c r="P26" s="189">
        <f t="shared" si="10"/>
        <v>5319392.5893949904</v>
      </c>
      <c r="Q26" s="189">
        <f t="shared" si="11"/>
        <v>358862.7289098787</v>
      </c>
    </row>
    <row r="27" spans="1:17" x14ac:dyDescent="0.35">
      <c r="A27" s="12">
        <f t="shared" si="8"/>
        <v>2038</v>
      </c>
      <c r="B27" s="8">
        <v>19</v>
      </c>
      <c r="C27" s="78">
        <v>2276791254.8000002</v>
      </c>
      <c r="D27" s="80">
        <v>64060381</v>
      </c>
      <c r="E27" s="80">
        <v>2276192265.1999998</v>
      </c>
      <c r="F27" s="80">
        <v>64020602.399999999</v>
      </c>
      <c r="G27" s="8">
        <f t="shared" si="0"/>
        <v>598989.60000038147</v>
      </c>
      <c r="H27" s="27">
        <f t="shared" si="1"/>
        <v>1000312.632000637</v>
      </c>
      <c r="I27" s="8">
        <f t="shared" si="2"/>
        <v>39778.60000000149</v>
      </c>
      <c r="J27" s="27">
        <f t="shared" si="9"/>
        <v>17.899999999999999</v>
      </c>
      <c r="K27" s="27">
        <f t="shared" si="3"/>
        <v>30.8</v>
      </c>
      <c r="L27" s="13">
        <f t="shared" si="4"/>
        <v>17905596.112811401</v>
      </c>
      <c r="M27" s="14">
        <f t="shared" si="5"/>
        <v>1225180.880000046</v>
      </c>
      <c r="N27" s="14">
        <f t="shared" si="6"/>
        <v>19130776.992811449</v>
      </c>
      <c r="O27" s="24">
        <f t="shared" si="7"/>
        <v>5289819.2554844143</v>
      </c>
      <c r="P27" s="189">
        <f t="shared" si="10"/>
        <v>4951046.5327188484</v>
      </c>
      <c r="Q27" s="189">
        <f t="shared" si="11"/>
        <v>338772.72276556608</v>
      </c>
    </row>
    <row r="28" spans="1:17" x14ac:dyDescent="0.35">
      <c r="A28" s="12">
        <f t="shared" si="8"/>
        <v>2039</v>
      </c>
      <c r="B28" s="8">
        <v>20</v>
      </c>
      <c r="C28" s="78">
        <v>2299694493.9000001</v>
      </c>
      <c r="D28" s="80">
        <v>64320630.5</v>
      </c>
      <c r="E28" s="80">
        <v>2299097966.0999999</v>
      </c>
      <c r="F28" s="80">
        <v>64280454.200000003</v>
      </c>
      <c r="G28" s="8">
        <f t="shared" si="0"/>
        <v>596527.80000019073</v>
      </c>
      <c r="H28" s="27">
        <f t="shared" si="1"/>
        <v>996201.42600031849</v>
      </c>
      <c r="I28" s="8">
        <f t="shared" si="2"/>
        <v>40176.29999999702</v>
      </c>
      <c r="J28" s="27">
        <f t="shared" si="9"/>
        <v>17.899999999999999</v>
      </c>
      <c r="K28" s="27">
        <f t="shared" si="3"/>
        <v>30.8</v>
      </c>
      <c r="L28" s="13">
        <f t="shared" si="4"/>
        <v>17832005.525405701</v>
      </c>
      <c r="M28" s="14">
        <f t="shared" si="5"/>
        <v>1237430.0399999083</v>
      </c>
      <c r="N28" s="14">
        <f t="shared" si="6"/>
        <v>19069435.565405611</v>
      </c>
      <c r="O28" s="24">
        <f t="shared" si="7"/>
        <v>4927904.5230354406</v>
      </c>
      <c r="P28" s="189">
        <f t="shared" si="10"/>
        <v>4608129.0860467386</v>
      </c>
      <c r="Q28" s="189">
        <f t="shared" si="11"/>
        <v>319775.43698870199</v>
      </c>
    </row>
    <row r="29" spans="1:17" x14ac:dyDescent="0.35">
      <c r="A29" s="12">
        <f t="shared" si="8"/>
        <v>2040</v>
      </c>
      <c r="B29" s="8">
        <v>21</v>
      </c>
      <c r="C29" s="80">
        <v>2322597733</v>
      </c>
      <c r="D29" s="80">
        <v>64580880</v>
      </c>
      <c r="E29" s="80">
        <v>2322003667</v>
      </c>
      <c r="F29" s="80">
        <v>64540306</v>
      </c>
      <c r="G29" s="8">
        <f t="shared" si="0"/>
        <v>594066</v>
      </c>
      <c r="H29" s="27">
        <f t="shared" si="1"/>
        <v>992090.22</v>
      </c>
      <c r="I29" s="8">
        <f t="shared" si="2"/>
        <v>40574</v>
      </c>
      <c r="J29" s="27">
        <f t="shared" si="9"/>
        <v>17.899999999999999</v>
      </c>
      <c r="K29" s="27">
        <f t="shared" si="3"/>
        <v>30.8</v>
      </c>
      <c r="L29" s="13">
        <f t="shared" si="4"/>
        <v>17758414.937999997</v>
      </c>
      <c r="M29" s="14">
        <f t="shared" ref="M29" si="12">I29*K29</f>
        <v>1249679.2</v>
      </c>
      <c r="N29" s="14">
        <f t="shared" ref="N29" si="13">L29+M29</f>
        <v>19008094.137999997</v>
      </c>
      <c r="O29" s="24">
        <f t="shared" si="7"/>
        <v>4590703.4883496277</v>
      </c>
      <c r="P29" s="189">
        <f t="shared" si="10"/>
        <v>4288889.6073204381</v>
      </c>
      <c r="Q29" s="189">
        <f t="shared" si="11"/>
        <v>301813.88102918986</v>
      </c>
    </row>
    <row r="30" spans="1:17" x14ac:dyDescent="0.35">
      <c r="A30" s="12">
        <f t="shared" si="8"/>
        <v>2041</v>
      </c>
      <c r="B30" s="8">
        <v>22</v>
      </c>
      <c r="C30" s="80">
        <v>2345500972.0999999</v>
      </c>
      <c r="D30" s="80">
        <v>64841129.5</v>
      </c>
      <c r="E30" s="80">
        <v>2344909367.9000001</v>
      </c>
      <c r="F30" s="80">
        <v>64800157.799999997</v>
      </c>
      <c r="G30" s="8">
        <f t="shared" ref="G30" si="14">C30-E30</f>
        <v>591604.19999980927</v>
      </c>
      <c r="H30" s="27">
        <f t="shared" si="1"/>
        <v>987979.01399968145</v>
      </c>
      <c r="I30" s="8">
        <f t="shared" ref="I30" si="15">D30-F30</f>
        <v>40971.70000000298</v>
      </c>
      <c r="J30" s="27">
        <f t="shared" si="9"/>
        <v>17.899999999999999</v>
      </c>
      <c r="K30" s="27">
        <f t="shared" si="3"/>
        <v>30.8</v>
      </c>
      <c r="L30" s="13">
        <f t="shared" si="4"/>
        <v>17684824.350594297</v>
      </c>
      <c r="M30" s="14">
        <f t="shared" ref="M30" si="16">I30*K30</f>
        <v>1261928.3600000918</v>
      </c>
      <c r="N30" s="14">
        <f t="shared" ref="N30" si="17">L30+M30</f>
        <v>18946752.71059439</v>
      </c>
      <c r="O30" s="24">
        <f t="shared" ref="O30" si="18">N30/((1.07)^B30)</f>
        <v>4276531.5241791997</v>
      </c>
      <c r="P30" s="189">
        <f t="shared" si="10"/>
        <v>3991697.6798139587</v>
      </c>
      <c r="Q30" s="189">
        <f t="shared" si="11"/>
        <v>284833.84436524101</v>
      </c>
    </row>
    <row r="31" spans="1:17" x14ac:dyDescent="0.35">
      <c r="A31" s="12">
        <f t="shared" si="8"/>
        <v>2042</v>
      </c>
      <c r="B31" s="8">
        <v>23</v>
      </c>
      <c r="C31" s="80">
        <v>2368404211.1999998</v>
      </c>
      <c r="D31" s="80">
        <v>65101379</v>
      </c>
      <c r="E31" s="80">
        <v>2367815068.8000002</v>
      </c>
      <c r="F31" s="80">
        <v>65060009.600000001</v>
      </c>
      <c r="G31" s="8">
        <f t="shared" ref="G31:G32" si="19">C31-E31</f>
        <v>589142.39999961853</v>
      </c>
      <c r="H31" s="27">
        <f t="shared" si="1"/>
        <v>983867.80799936294</v>
      </c>
      <c r="I31" s="8">
        <f t="shared" ref="I31:I32" si="20">D31-F31</f>
        <v>41369.39999999851</v>
      </c>
      <c r="J31" s="27">
        <f t="shared" si="9"/>
        <v>17.899999999999999</v>
      </c>
      <c r="K31" s="27">
        <f t="shared" si="3"/>
        <v>30.8</v>
      </c>
      <c r="L31" s="13">
        <f t="shared" si="4"/>
        <v>17611233.763188597</v>
      </c>
      <c r="M31" s="14">
        <f t="shared" ref="M31:M32" si="21">I31*K31</f>
        <v>1274177.5199999542</v>
      </c>
      <c r="N31" s="14">
        <f t="shared" ref="N31:N32" si="22">L31+M31</f>
        <v>18885411.283188552</v>
      </c>
      <c r="O31" s="24">
        <f t="shared" ref="O31:O32" si="23">N31/((1.07)^B31)</f>
        <v>3983818.6508811279</v>
      </c>
      <c r="P31" s="189">
        <f t="shared" si="10"/>
        <v>3715034.8742086058</v>
      </c>
      <c r="Q31" s="189">
        <f t="shared" si="11"/>
        <v>268783.77667252201</v>
      </c>
    </row>
    <row r="32" spans="1:17" x14ac:dyDescent="0.35">
      <c r="A32" s="12">
        <f t="shared" si="8"/>
        <v>2043</v>
      </c>
      <c r="B32" s="8">
        <v>24</v>
      </c>
      <c r="C32" s="80">
        <v>2391307450.3000002</v>
      </c>
      <c r="D32" s="80">
        <v>65361628.5</v>
      </c>
      <c r="E32" s="80">
        <v>2390720769.6999998</v>
      </c>
      <c r="F32" s="80">
        <v>65319861.399999999</v>
      </c>
      <c r="G32" s="8">
        <f t="shared" si="19"/>
        <v>586680.60000038147</v>
      </c>
      <c r="H32" s="27">
        <f t="shared" si="1"/>
        <v>979756.60200063698</v>
      </c>
      <c r="I32" s="8">
        <f t="shared" si="20"/>
        <v>41767.10000000149</v>
      </c>
      <c r="J32" s="27">
        <f t="shared" si="9"/>
        <v>17.899999999999999</v>
      </c>
      <c r="K32" s="27">
        <f t="shared" si="3"/>
        <v>30.8</v>
      </c>
      <c r="L32" s="13">
        <f t="shared" si="4"/>
        <v>17537643.175811399</v>
      </c>
      <c r="M32" s="14">
        <f t="shared" si="21"/>
        <v>1286426.680000046</v>
      </c>
      <c r="N32" s="14">
        <f t="shared" si="22"/>
        <v>18824069.855811443</v>
      </c>
      <c r="O32" s="24">
        <f t="shared" si="23"/>
        <v>3711101.7457532524</v>
      </c>
      <c r="P32" s="189">
        <f t="shared" si="10"/>
        <v>3457487.0739792921</v>
      </c>
      <c r="Q32" s="189">
        <f t="shared" si="11"/>
        <v>253614.67177396096</v>
      </c>
    </row>
    <row r="33" spans="1:17" x14ac:dyDescent="0.35">
      <c r="A33" s="12">
        <f t="shared" si="8"/>
        <v>2044</v>
      </c>
      <c r="B33" s="8">
        <v>25</v>
      </c>
      <c r="C33" s="80">
        <v>2414210689.4000001</v>
      </c>
      <c r="D33" s="80">
        <v>65621878</v>
      </c>
      <c r="E33" s="80">
        <v>2413626470.5999999</v>
      </c>
      <c r="F33" s="80">
        <v>65579713.200000003</v>
      </c>
      <c r="G33" s="8">
        <f t="shared" ref="G33" si="24">C33-E33</f>
        <v>584218.80000019073</v>
      </c>
      <c r="H33" s="27">
        <f t="shared" ref="H33" si="25">G33*$E$4</f>
        <v>975645.39600031846</v>
      </c>
      <c r="I33" s="8">
        <f t="shared" ref="I33" si="26">D33-F33</f>
        <v>42164.79999999702</v>
      </c>
      <c r="J33" s="27">
        <f t="shared" ref="J33" si="27">B$4</f>
        <v>17.899999999999999</v>
      </c>
      <c r="K33" s="27">
        <f t="shared" ref="K33" si="28">B$5</f>
        <v>30.8</v>
      </c>
      <c r="L33" s="13">
        <f t="shared" ref="L33" si="29">H33*J33</f>
        <v>17464052.588405699</v>
      </c>
      <c r="M33" s="14">
        <f t="shared" ref="M33" si="30">I33*K33</f>
        <v>1298675.8399999083</v>
      </c>
      <c r="N33" s="14">
        <f t="shared" ref="N33" si="31">L33+M33</f>
        <v>18762728.428405605</v>
      </c>
      <c r="O33" s="24">
        <f t="shared" ref="O33:O35" si="32">N33/((1.07)^B33)</f>
        <v>3457017.2810068754</v>
      </c>
      <c r="P33" s="189">
        <f t="shared" si="10"/>
        <v>3217737.3256188892</v>
      </c>
      <c r="Q33" s="189">
        <f t="shared" si="11"/>
        <v>239279.9553879867</v>
      </c>
    </row>
    <row r="34" spans="1:17" x14ac:dyDescent="0.35">
      <c r="A34" s="12">
        <f t="shared" si="8"/>
        <v>2045</v>
      </c>
      <c r="B34" s="8">
        <v>26</v>
      </c>
      <c r="C34" s="80">
        <v>2437113928.5</v>
      </c>
      <c r="D34" s="80">
        <v>65882127.5</v>
      </c>
      <c r="E34" s="80">
        <v>2436532171.5</v>
      </c>
      <c r="F34" s="80">
        <v>65839565</v>
      </c>
      <c r="G34" s="8">
        <f t="shared" ref="G34:G35" si="33">C34-E34</f>
        <v>581757</v>
      </c>
      <c r="H34" s="27">
        <f t="shared" ref="H34:H36" si="34">G34*$E$4</f>
        <v>971534.19</v>
      </c>
      <c r="I34" s="8">
        <f t="shared" ref="I34:I35" si="35">D34-F34</f>
        <v>42562.5</v>
      </c>
      <c r="J34" s="27">
        <f t="shared" ref="J34:J35" si="36">B$4</f>
        <v>17.899999999999999</v>
      </c>
      <c r="K34" s="27">
        <f t="shared" ref="K34:K35" si="37">B$5</f>
        <v>30.8</v>
      </c>
      <c r="L34" s="13">
        <f t="shared" ref="L34:L35" si="38">H34*J34</f>
        <v>17390462.000999998</v>
      </c>
      <c r="M34" s="14">
        <f t="shared" ref="M34:M35" si="39">I34*K34</f>
        <v>1310925</v>
      </c>
      <c r="N34" s="14">
        <f t="shared" ref="N34:N35" si="40">L34+M34</f>
        <v>18701387.000999998</v>
      </c>
      <c r="O34" s="24">
        <f t="shared" si="32"/>
        <v>3220294.5546349091</v>
      </c>
      <c r="P34" s="189">
        <f t="shared" si="10"/>
        <v>2994559.1779588885</v>
      </c>
      <c r="Q34" s="189">
        <f t="shared" si="11"/>
        <v>225735.3766760205</v>
      </c>
    </row>
    <row r="35" spans="1:17" x14ac:dyDescent="0.35">
      <c r="A35" s="12">
        <f t="shared" si="8"/>
        <v>2046</v>
      </c>
      <c r="B35" s="8">
        <v>27</v>
      </c>
      <c r="C35" s="80">
        <v>2460017167.5999999</v>
      </c>
      <c r="D35" s="80">
        <v>66142377</v>
      </c>
      <c r="E35" s="80">
        <v>2459437872.4000001</v>
      </c>
      <c r="F35" s="80">
        <v>66099416.799999997</v>
      </c>
      <c r="G35" s="8">
        <f t="shared" si="33"/>
        <v>579295.19999980927</v>
      </c>
      <c r="H35" s="27">
        <f t="shared" si="34"/>
        <v>967422.98399968143</v>
      </c>
      <c r="I35" s="8">
        <f t="shared" si="35"/>
        <v>42960.20000000298</v>
      </c>
      <c r="J35" s="27">
        <f t="shared" si="36"/>
        <v>17.899999999999999</v>
      </c>
      <c r="K35" s="27">
        <f t="shared" si="37"/>
        <v>30.8</v>
      </c>
      <c r="L35" s="13">
        <f t="shared" si="38"/>
        <v>17316871.413594294</v>
      </c>
      <c r="M35" s="14">
        <f t="shared" si="39"/>
        <v>1323174.1600000919</v>
      </c>
      <c r="N35" s="14">
        <f t="shared" si="40"/>
        <v>18640045.573594388</v>
      </c>
      <c r="O35" s="24">
        <f t="shared" si="32"/>
        <v>2999749.3806549287</v>
      </c>
      <c r="P35" s="189">
        <f t="shared" si="10"/>
        <v>2786810.4770837021</v>
      </c>
      <c r="Q35" s="189">
        <f t="shared" si="11"/>
        <v>212938.90357122643</v>
      </c>
    </row>
    <row r="36" spans="1:17" x14ac:dyDescent="0.35">
      <c r="A36" s="112" t="s">
        <v>43</v>
      </c>
      <c r="B36" s="11"/>
      <c r="C36" s="40"/>
      <c r="D36" s="40"/>
      <c r="E36" s="40"/>
      <c r="F36" s="40"/>
      <c r="G36" s="188">
        <f>SUM(G8:G35)</f>
        <v>12682177.200000286</v>
      </c>
      <c r="H36" s="188">
        <f t="shared" si="34"/>
        <v>21179235.924000476</v>
      </c>
      <c r="I36" s="188">
        <f>SUM(I8:I35)</f>
        <v>818647.20000000298</v>
      </c>
      <c r="J36" s="89"/>
      <c r="K36" s="89"/>
      <c r="L36" s="41"/>
      <c r="M36" s="38"/>
      <c r="N36" s="38"/>
      <c r="O36" s="24">
        <f>SUM(O8:O35)</f>
        <v>140076627.20701125</v>
      </c>
      <c r="P36" s="190">
        <f>SUM(P15:P35)</f>
        <v>131619841.39923739</v>
      </c>
      <c r="Q36" s="190">
        <f>SUM(Q15:Q35)</f>
        <v>8456785.8077738509</v>
      </c>
    </row>
    <row r="37" spans="1:17" x14ac:dyDescent="0.35">
      <c r="A37" s="90" t="s">
        <v>36</v>
      </c>
      <c r="H37" s="89"/>
      <c r="J37" s="89"/>
      <c r="K37" s="89"/>
      <c r="P37" s="3">
        <f t="shared" si="10"/>
        <v>0</v>
      </c>
      <c r="Q37" s="3">
        <f t="shared" si="11"/>
        <v>0</v>
      </c>
    </row>
    <row r="41" spans="1:17" ht="54" x14ac:dyDescent="0.35">
      <c r="G41" s="56" t="s">
        <v>9</v>
      </c>
      <c r="H41" s="56" t="s">
        <v>42</v>
      </c>
      <c r="I41" s="56" t="s">
        <v>10</v>
      </c>
      <c r="J41" s="56" t="s">
        <v>167</v>
      </c>
      <c r="K41" s="56" t="s">
        <v>168</v>
      </c>
      <c r="L41" s="43" t="s">
        <v>60</v>
      </c>
      <c r="M41" s="43" t="s">
        <v>23</v>
      </c>
    </row>
    <row r="42" spans="1:17" x14ac:dyDescent="0.35">
      <c r="G42" s="191">
        <v>12682177.200000286</v>
      </c>
      <c r="H42" s="191">
        <v>21179235.924000476</v>
      </c>
      <c r="I42" s="191">
        <v>818647.20000000298</v>
      </c>
      <c r="J42" s="192">
        <v>131619841.39923739</v>
      </c>
      <c r="K42" s="192">
        <v>8456785.8077738509</v>
      </c>
      <c r="L42" s="197">
        <f>'Operating Cost Savings'!I30</f>
        <v>29140792.799999237</v>
      </c>
      <c r="M42" s="197">
        <f>'Operating Cost Savings'!J30</f>
        <v>10857241.333297087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32"/>
  <sheetViews>
    <sheetView workbookViewId="0">
      <selection activeCell="I1" sqref="I1:J1"/>
    </sheetView>
  </sheetViews>
  <sheetFormatPr defaultRowHeight="13.5" x14ac:dyDescent="0.3"/>
  <cols>
    <col min="3" max="8" width="16.3828125" customWidth="1"/>
    <col min="9" max="9" width="14.61328125" bestFit="1" customWidth="1"/>
    <col min="10" max="10" width="17.15234375" customWidth="1"/>
  </cols>
  <sheetData>
    <row r="1" spans="1:10" ht="40.5" x14ac:dyDescent="0.3">
      <c r="A1" s="19" t="s">
        <v>0</v>
      </c>
      <c r="B1" s="43" t="s">
        <v>5</v>
      </c>
      <c r="C1" s="43" t="s">
        <v>61</v>
      </c>
      <c r="D1" s="43" t="s">
        <v>62</v>
      </c>
      <c r="E1" s="43" t="s">
        <v>63</v>
      </c>
      <c r="F1" s="43" t="s">
        <v>66</v>
      </c>
      <c r="G1" s="43" t="s">
        <v>65</v>
      </c>
      <c r="H1" s="43" t="s">
        <v>64</v>
      </c>
      <c r="I1" s="43" t="s">
        <v>60</v>
      </c>
      <c r="J1" s="43" t="s">
        <v>23</v>
      </c>
    </row>
    <row r="2" spans="1:10" x14ac:dyDescent="0.3">
      <c r="A2" s="18">
        <v>2019</v>
      </c>
      <c r="B2" s="17">
        <v>0</v>
      </c>
      <c r="C2" s="29"/>
      <c r="D2" s="29"/>
      <c r="E2" s="29">
        <f>C2-D2</f>
        <v>0</v>
      </c>
      <c r="F2" s="29"/>
      <c r="G2" s="29"/>
      <c r="H2" s="29">
        <f>F2-G2</f>
        <v>0</v>
      </c>
      <c r="I2" s="29">
        <f>E2+H2</f>
        <v>0</v>
      </c>
      <c r="J2" s="7">
        <f>I2/((1.07)^B2)</f>
        <v>0</v>
      </c>
    </row>
    <row r="3" spans="1:10" x14ac:dyDescent="0.3">
      <c r="A3" s="18">
        <f>A2+1</f>
        <v>2020</v>
      </c>
      <c r="B3" s="17">
        <v>1</v>
      </c>
      <c r="C3" s="29"/>
      <c r="D3" s="29"/>
      <c r="E3" s="29">
        <f t="shared" ref="E3:E29" si="0">C3-D3</f>
        <v>0</v>
      </c>
      <c r="F3" s="29"/>
      <c r="G3" s="29"/>
      <c r="H3" s="29">
        <f t="shared" ref="H3:H29" si="1">F3-G3</f>
        <v>0</v>
      </c>
      <c r="I3" s="29">
        <f t="shared" ref="I3:I30" si="2">E3+H3</f>
        <v>0</v>
      </c>
      <c r="J3" s="7">
        <f t="shared" ref="J3:J26" si="3">I3/((1.07)^B3)</f>
        <v>0</v>
      </c>
    </row>
    <row r="4" spans="1:10" x14ac:dyDescent="0.3">
      <c r="A4" s="18">
        <f t="shared" ref="A4:A29" si="4">A3+1</f>
        <v>2021</v>
      </c>
      <c r="B4" s="17">
        <v>2</v>
      </c>
      <c r="C4" s="29"/>
      <c r="D4" s="29"/>
      <c r="E4" s="29">
        <f t="shared" si="0"/>
        <v>0</v>
      </c>
      <c r="F4" s="29"/>
      <c r="G4" s="29"/>
      <c r="H4" s="29">
        <f t="shared" si="1"/>
        <v>0</v>
      </c>
      <c r="I4" s="29">
        <f t="shared" si="2"/>
        <v>0</v>
      </c>
      <c r="J4" s="7">
        <f t="shared" si="3"/>
        <v>0</v>
      </c>
    </row>
    <row r="5" spans="1:10" x14ac:dyDescent="0.3">
      <c r="A5" s="18">
        <f t="shared" si="4"/>
        <v>2022</v>
      </c>
      <c r="B5" s="17">
        <v>3</v>
      </c>
      <c r="C5" s="29"/>
      <c r="D5" s="29"/>
      <c r="E5" s="29">
        <f t="shared" si="0"/>
        <v>0</v>
      </c>
      <c r="F5" s="29"/>
      <c r="G5" s="29"/>
      <c r="H5" s="29">
        <f t="shared" si="1"/>
        <v>0</v>
      </c>
      <c r="I5" s="29">
        <f t="shared" si="2"/>
        <v>0</v>
      </c>
      <c r="J5" s="7">
        <f t="shared" si="3"/>
        <v>0</v>
      </c>
    </row>
    <row r="6" spans="1:10" x14ac:dyDescent="0.3">
      <c r="A6" s="18">
        <f t="shared" si="4"/>
        <v>2023</v>
      </c>
      <c r="B6" s="17">
        <v>4</v>
      </c>
      <c r="C6" s="29"/>
      <c r="D6" s="29"/>
      <c r="E6" s="29">
        <f t="shared" si="0"/>
        <v>0</v>
      </c>
      <c r="F6" s="29"/>
      <c r="G6" s="29"/>
      <c r="H6" s="29">
        <f t="shared" si="1"/>
        <v>0</v>
      </c>
      <c r="I6" s="29">
        <f t="shared" si="2"/>
        <v>0</v>
      </c>
      <c r="J6" s="7">
        <f t="shared" si="3"/>
        <v>0</v>
      </c>
    </row>
    <row r="7" spans="1:10" x14ac:dyDescent="0.3">
      <c r="A7" s="18">
        <f t="shared" si="4"/>
        <v>2024</v>
      </c>
      <c r="B7" s="17">
        <v>5</v>
      </c>
      <c r="C7" s="29"/>
      <c r="D7" s="29"/>
      <c r="E7" s="29">
        <f t="shared" si="0"/>
        <v>0</v>
      </c>
      <c r="F7" s="29"/>
      <c r="G7" s="29"/>
      <c r="H7" s="29">
        <f t="shared" si="1"/>
        <v>0</v>
      </c>
      <c r="I7" s="29">
        <f t="shared" si="2"/>
        <v>0</v>
      </c>
      <c r="J7" s="7">
        <f t="shared" si="3"/>
        <v>0</v>
      </c>
    </row>
    <row r="8" spans="1:10" x14ac:dyDescent="0.3">
      <c r="A8" s="18">
        <f t="shared" si="4"/>
        <v>2025</v>
      </c>
      <c r="B8" s="17">
        <v>6</v>
      </c>
      <c r="C8" s="29"/>
      <c r="D8" s="29"/>
      <c r="E8" s="29">
        <f t="shared" si="0"/>
        <v>0</v>
      </c>
      <c r="F8" s="29"/>
      <c r="G8" s="29"/>
      <c r="H8" s="29">
        <f t="shared" si="1"/>
        <v>0</v>
      </c>
      <c r="I8" s="29">
        <f t="shared" si="2"/>
        <v>0</v>
      </c>
      <c r="J8" s="7">
        <f t="shared" si="3"/>
        <v>0</v>
      </c>
    </row>
    <row r="9" spans="1:10" x14ac:dyDescent="0.3">
      <c r="A9" s="18">
        <f t="shared" si="4"/>
        <v>2026</v>
      </c>
      <c r="B9" s="17">
        <v>7</v>
      </c>
      <c r="C9" s="29">
        <v>10509904214.4</v>
      </c>
      <c r="D9" s="29">
        <v>10508280849.6</v>
      </c>
      <c r="E9" s="29">
        <f t="shared" si="0"/>
        <v>1623364.7999992371</v>
      </c>
      <c r="F9" s="29">
        <v>27880820882</v>
      </c>
      <c r="G9" s="29">
        <v>27880573118</v>
      </c>
      <c r="H9" s="29">
        <f t="shared" si="1"/>
        <v>247764</v>
      </c>
      <c r="I9" s="29">
        <f t="shared" si="2"/>
        <v>1871128.7999992371</v>
      </c>
      <c r="J9" s="7">
        <f t="shared" si="3"/>
        <v>1165244.9772323496</v>
      </c>
    </row>
    <row r="10" spans="1:10" x14ac:dyDescent="0.3">
      <c r="A10" s="18">
        <f t="shared" si="4"/>
        <v>2027</v>
      </c>
      <c r="B10" s="17">
        <v>8</v>
      </c>
      <c r="C10" s="29">
        <v>10623574175.799999</v>
      </c>
      <c r="D10" s="29">
        <v>10621957262.200001</v>
      </c>
      <c r="E10" s="29">
        <f t="shared" si="0"/>
        <v>1616913.5999984741</v>
      </c>
      <c r="F10" s="29">
        <v>28151027896.5</v>
      </c>
      <c r="G10" s="29">
        <v>28150822028.5</v>
      </c>
      <c r="H10" s="29">
        <f t="shared" si="1"/>
        <v>205868</v>
      </c>
      <c r="I10" s="29">
        <f t="shared" si="2"/>
        <v>1822781.5999984741</v>
      </c>
      <c r="J10" s="7">
        <f t="shared" si="3"/>
        <v>1060875.48683274</v>
      </c>
    </row>
    <row r="11" spans="1:10" x14ac:dyDescent="0.3">
      <c r="A11" s="18">
        <f t="shared" si="4"/>
        <v>2028</v>
      </c>
      <c r="B11" s="17">
        <v>9</v>
      </c>
      <c r="C11" s="29">
        <v>10737244137.200001</v>
      </c>
      <c r="D11" s="29">
        <v>10735633674.799999</v>
      </c>
      <c r="E11" s="29">
        <f t="shared" si="0"/>
        <v>1610462.4000015259</v>
      </c>
      <c r="F11" s="29">
        <v>28421234911</v>
      </c>
      <c r="G11" s="29">
        <v>28421070939</v>
      </c>
      <c r="H11" s="29">
        <f t="shared" si="1"/>
        <v>163972</v>
      </c>
      <c r="I11" s="29">
        <f t="shared" si="2"/>
        <v>1774434.4000015259</v>
      </c>
      <c r="J11" s="7">
        <f t="shared" si="3"/>
        <v>965174.7441628871</v>
      </c>
    </row>
    <row r="12" spans="1:10" x14ac:dyDescent="0.3">
      <c r="A12" s="18">
        <f t="shared" si="4"/>
        <v>2029</v>
      </c>
      <c r="B12" s="17">
        <v>10</v>
      </c>
      <c r="C12" s="29">
        <v>10850914098.6</v>
      </c>
      <c r="D12" s="29">
        <v>10849310087.4</v>
      </c>
      <c r="E12" s="29">
        <f t="shared" si="0"/>
        <v>1604011.2000007629</v>
      </c>
      <c r="F12" s="29">
        <v>28691441925.5</v>
      </c>
      <c r="G12" s="29">
        <v>28691319849.5</v>
      </c>
      <c r="H12" s="29">
        <f t="shared" si="1"/>
        <v>122076</v>
      </c>
      <c r="I12" s="29">
        <f t="shared" si="2"/>
        <v>1726087.2000007629</v>
      </c>
      <c r="J12" s="7">
        <f t="shared" si="3"/>
        <v>877455.20628318493</v>
      </c>
    </row>
    <row r="13" spans="1:10" x14ac:dyDescent="0.3">
      <c r="A13" s="18">
        <f t="shared" si="4"/>
        <v>2030</v>
      </c>
      <c r="B13" s="17">
        <v>11</v>
      </c>
      <c r="C13" s="29">
        <v>10964584060</v>
      </c>
      <c r="D13" s="29">
        <v>10962986500</v>
      </c>
      <c r="E13" s="29">
        <f t="shared" si="0"/>
        <v>1597560</v>
      </c>
      <c r="F13" s="29">
        <v>28961648940</v>
      </c>
      <c r="G13" s="29">
        <v>28961568760</v>
      </c>
      <c r="H13" s="29">
        <f t="shared" si="1"/>
        <v>80180</v>
      </c>
      <c r="I13" s="29">
        <f t="shared" si="2"/>
        <v>1677740</v>
      </c>
      <c r="J13" s="7">
        <f t="shared" si="3"/>
        <v>797082.18821130961</v>
      </c>
    </row>
    <row r="14" spans="1:10" x14ac:dyDescent="0.3">
      <c r="A14" s="18">
        <f t="shared" si="4"/>
        <v>2031</v>
      </c>
      <c r="B14" s="17">
        <v>12</v>
      </c>
      <c r="C14" s="29">
        <v>11078254021.4</v>
      </c>
      <c r="D14" s="29">
        <v>11076662912.6</v>
      </c>
      <c r="E14" s="29">
        <f t="shared" si="0"/>
        <v>1591108.7999992371</v>
      </c>
      <c r="F14" s="29">
        <v>29231855954.5</v>
      </c>
      <c r="G14" s="29">
        <v>29231817670.5</v>
      </c>
      <c r="H14" s="29">
        <f t="shared" si="1"/>
        <v>38284</v>
      </c>
      <c r="I14" s="29">
        <f t="shared" si="2"/>
        <v>1629392.7999992371</v>
      </c>
      <c r="J14" s="7">
        <f t="shared" si="3"/>
        <v>723469.88950040878</v>
      </c>
    </row>
    <row r="15" spans="1:10" x14ac:dyDescent="0.3">
      <c r="A15" s="18">
        <f t="shared" si="4"/>
        <v>2032</v>
      </c>
      <c r="B15" s="17">
        <v>13</v>
      </c>
      <c r="C15" s="29">
        <v>11191923982.799999</v>
      </c>
      <c r="D15" s="29">
        <v>11190339325.200001</v>
      </c>
      <c r="E15" s="29">
        <f t="shared" si="0"/>
        <v>1584657.5999984741</v>
      </c>
      <c r="F15" s="29">
        <v>29502062969</v>
      </c>
      <c r="G15" s="29">
        <v>29502066581</v>
      </c>
      <c r="H15" s="29">
        <f t="shared" si="1"/>
        <v>-3612</v>
      </c>
      <c r="I15" s="29">
        <f t="shared" si="2"/>
        <v>1581045.5999984741</v>
      </c>
      <c r="J15" s="7">
        <f t="shared" si="3"/>
        <v>656077.71448996849</v>
      </c>
    </row>
    <row r="16" spans="1:10" x14ac:dyDescent="0.3">
      <c r="A16" s="18">
        <f t="shared" si="4"/>
        <v>2033</v>
      </c>
      <c r="B16" s="17">
        <v>14</v>
      </c>
      <c r="C16" s="29">
        <v>11305593944.200001</v>
      </c>
      <c r="D16" s="29">
        <v>11304015737.799999</v>
      </c>
      <c r="E16" s="29">
        <f t="shared" si="0"/>
        <v>1578206.4000015259</v>
      </c>
      <c r="F16" s="29">
        <v>29772269983.5</v>
      </c>
      <c r="G16" s="29">
        <v>29772315491.5</v>
      </c>
      <c r="H16" s="29">
        <f t="shared" si="1"/>
        <v>-45508</v>
      </c>
      <c r="I16" s="29">
        <f t="shared" si="2"/>
        <v>1532698.4000015259</v>
      </c>
      <c r="J16" s="7">
        <f t="shared" si="3"/>
        <v>594406.86480026005</v>
      </c>
    </row>
    <row r="17" spans="1:10" x14ac:dyDescent="0.3">
      <c r="A17" s="18">
        <f t="shared" si="4"/>
        <v>2034</v>
      </c>
      <c r="B17" s="17">
        <v>15</v>
      </c>
      <c r="C17" s="29">
        <v>11419263905.6</v>
      </c>
      <c r="D17" s="29">
        <v>11417692150.4</v>
      </c>
      <c r="E17" s="29">
        <f t="shared" si="0"/>
        <v>1571755.2000007629</v>
      </c>
      <c r="F17" s="29">
        <v>30042476998</v>
      </c>
      <c r="G17" s="29">
        <v>30042564402</v>
      </c>
      <c r="H17" s="29">
        <f t="shared" si="1"/>
        <v>-87404</v>
      </c>
      <c r="I17" s="29">
        <f t="shared" si="2"/>
        <v>1484351.2000007629</v>
      </c>
      <c r="J17" s="7">
        <f t="shared" si="3"/>
        <v>537997.18419163662</v>
      </c>
    </row>
    <row r="18" spans="1:10" x14ac:dyDescent="0.3">
      <c r="A18" s="18">
        <f t="shared" si="4"/>
        <v>2035</v>
      </c>
      <c r="B18" s="17">
        <v>16</v>
      </c>
      <c r="C18" s="29">
        <v>11532933867</v>
      </c>
      <c r="D18" s="29">
        <v>11531368563</v>
      </c>
      <c r="E18" s="29">
        <f t="shared" si="0"/>
        <v>1565304</v>
      </c>
      <c r="F18" s="29">
        <v>30312684012.5</v>
      </c>
      <c r="G18" s="29">
        <v>30312813312.5</v>
      </c>
      <c r="H18" s="29">
        <f t="shared" si="1"/>
        <v>-129300</v>
      </c>
      <c r="I18" s="29">
        <f t="shared" si="2"/>
        <v>1436004</v>
      </c>
      <c r="J18" s="7">
        <f t="shared" si="3"/>
        <v>486424.23737430573</v>
      </c>
    </row>
    <row r="19" spans="1:10" x14ac:dyDescent="0.3">
      <c r="A19" s="18">
        <f t="shared" si="4"/>
        <v>2036</v>
      </c>
      <c r="B19" s="17">
        <v>17</v>
      </c>
      <c r="C19" s="29">
        <v>11646603828.4</v>
      </c>
      <c r="D19" s="29">
        <v>11645044975.6</v>
      </c>
      <c r="E19" s="29">
        <f t="shared" si="0"/>
        <v>1558852.7999992371</v>
      </c>
      <c r="F19" s="29">
        <v>30582891027</v>
      </c>
      <c r="G19" s="29">
        <v>30583062223</v>
      </c>
      <c r="H19" s="29">
        <f t="shared" si="1"/>
        <v>-171196</v>
      </c>
      <c r="I19" s="29">
        <f t="shared" si="2"/>
        <v>1387656.7999992371</v>
      </c>
      <c r="J19" s="7">
        <f t="shared" si="3"/>
        <v>439296.60563313606</v>
      </c>
    </row>
    <row r="20" spans="1:10" x14ac:dyDescent="0.3">
      <c r="A20" s="18">
        <f t="shared" si="4"/>
        <v>2037</v>
      </c>
      <c r="B20" s="17">
        <v>18</v>
      </c>
      <c r="C20" s="29">
        <v>11760273789.799999</v>
      </c>
      <c r="D20" s="29">
        <v>11758721388.200001</v>
      </c>
      <c r="E20" s="29">
        <f t="shared" si="0"/>
        <v>1552401.5999984741</v>
      </c>
      <c r="F20" s="29">
        <v>30853098041.5</v>
      </c>
      <c r="G20" s="29">
        <v>30853311133.5</v>
      </c>
      <c r="H20" s="29">
        <f t="shared" si="1"/>
        <v>-213092</v>
      </c>
      <c r="I20" s="29">
        <f t="shared" si="2"/>
        <v>1339309.5999984741</v>
      </c>
      <c r="J20" s="7">
        <f t="shared" si="3"/>
        <v>396253.38342266181</v>
      </c>
    </row>
    <row r="21" spans="1:10" x14ac:dyDescent="0.3">
      <c r="A21" s="18">
        <f t="shared" si="4"/>
        <v>2038</v>
      </c>
      <c r="B21" s="17">
        <v>19</v>
      </c>
      <c r="C21" s="29">
        <v>11873943751.200001</v>
      </c>
      <c r="D21" s="29">
        <v>11872397800.799999</v>
      </c>
      <c r="E21" s="29">
        <f t="shared" si="0"/>
        <v>1545950.4000015259</v>
      </c>
      <c r="F21" s="29">
        <v>31123305056</v>
      </c>
      <c r="G21" s="29">
        <v>31123560044</v>
      </c>
      <c r="H21" s="29">
        <f t="shared" si="1"/>
        <v>-254988</v>
      </c>
      <c r="I21" s="29">
        <f t="shared" si="2"/>
        <v>1290962.4000015259</v>
      </c>
      <c r="J21" s="7">
        <f t="shared" si="3"/>
        <v>356961.86120409449</v>
      </c>
    </row>
    <row r="22" spans="1:10" x14ac:dyDescent="0.3">
      <c r="A22" s="18">
        <f t="shared" si="4"/>
        <v>2039</v>
      </c>
      <c r="B22" s="5">
        <v>20</v>
      </c>
      <c r="C22" s="29">
        <v>11987613712.6</v>
      </c>
      <c r="D22" s="29">
        <v>11986074213.4</v>
      </c>
      <c r="E22" s="29">
        <f t="shared" si="0"/>
        <v>1539499.2000007629</v>
      </c>
      <c r="F22" s="29">
        <v>31393512070.5</v>
      </c>
      <c r="G22" s="29">
        <v>31393808954.5</v>
      </c>
      <c r="H22" s="29">
        <f t="shared" si="1"/>
        <v>-296884</v>
      </c>
      <c r="I22" s="29">
        <f t="shared" si="2"/>
        <v>1242615.2000007629</v>
      </c>
      <c r="J22" s="7">
        <f t="shared" si="3"/>
        <v>321115.38086555316</v>
      </c>
    </row>
    <row r="23" spans="1:10" x14ac:dyDescent="0.3">
      <c r="A23" s="18">
        <f t="shared" si="4"/>
        <v>2040</v>
      </c>
      <c r="B23" s="5">
        <v>21</v>
      </c>
      <c r="C23" s="29">
        <v>12101283674</v>
      </c>
      <c r="D23" s="29">
        <v>12099750626</v>
      </c>
      <c r="E23" s="29">
        <f t="shared" si="0"/>
        <v>1533048</v>
      </c>
      <c r="F23" s="29">
        <v>31663719085</v>
      </c>
      <c r="G23" s="29">
        <v>31664057865</v>
      </c>
      <c r="H23" s="29">
        <f t="shared" si="1"/>
        <v>-338780</v>
      </c>
      <c r="I23" s="29">
        <f t="shared" si="2"/>
        <v>1194268</v>
      </c>
      <c r="J23" s="7">
        <f t="shared" si="3"/>
        <v>288431.35107711528</v>
      </c>
    </row>
    <row r="24" spans="1:10" x14ac:dyDescent="0.3">
      <c r="A24" s="18">
        <f t="shared" si="4"/>
        <v>2041</v>
      </c>
      <c r="B24" s="5">
        <v>22</v>
      </c>
      <c r="C24" s="7">
        <v>12214953635.4</v>
      </c>
      <c r="D24" s="7">
        <v>12213427038.6</v>
      </c>
      <c r="E24" s="29">
        <f t="shared" si="0"/>
        <v>1526596.7999992371</v>
      </c>
      <c r="F24" s="7">
        <v>31933926099.5</v>
      </c>
      <c r="G24" s="7">
        <v>31934306775.5</v>
      </c>
      <c r="H24" s="29">
        <f t="shared" si="1"/>
        <v>-380676</v>
      </c>
      <c r="I24" s="29">
        <f t="shared" si="2"/>
        <v>1145920.7999992371</v>
      </c>
      <c r="J24" s="7">
        <f t="shared" si="3"/>
        <v>258649.41081271161</v>
      </c>
    </row>
    <row r="25" spans="1:10" x14ac:dyDescent="0.3">
      <c r="A25" s="18">
        <f t="shared" si="4"/>
        <v>2042</v>
      </c>
      <c r="B25" s="5">
        <v>23</v>
      </c>
      <c r="C25" s="7">
        <v>12328623596.799999</v>
      </c>
      <c r="D25" s="7">
        <v>12327103451.200001</v>
      </c>
      <c r="E25" s="29">
        <f t="shared" si="0"/>
        <v>1520145.5999984741</v>
      </c>
      <c r="F25" s="7">
        <v>32204133114</v>
      </c>
      <c r="G25" s="7">
        <v>32204555686</v>
      </c>
      <c r="H25" s="29">
        <f t="shared" si="1"/>
        <v>-422572</v>
      </c>
      <c r="I25" s="29">
        <f t="shared" si="2"/>
        <v>1097573.5999984741</v>
      </c>
      <c r="J25" s="7">
        <f t="shared" si="3"/>
        <v>231529.73016166262</v>
      </c>
    </row>
    <row r="26" spans="1:10" x14ac:dyDescent="0.3">
      <c r="A26" s="18">
        <f t="shared" si="4"/>
        <v>2043</v>
      </c>
      <c r="B26" s="5">
        <v>24</v>
      </c>
      <c r="C26" s="7">
        <v>12442293558.200001</v>
      </c>
      <c r="D26" s="7">
        <v>12440779863.799999</v>
      </c>
      <c r="E26" s="29">
        <f t="shared" si="0"/>
        <v>1513694.4000015259</v>
      </c>
      <c r="F26" s="7">
        <v>32474340128.5</v>
      </c>
      <c r="G26" s="7">
        <v>32474804596.5</v>
      </c>
      <c r="H26" s="29">
        <f t="shared" si="1"/>
        <v>-464468</v>
      </c>
      <c r="I26" s="29">
        <f t="shared" si="2"/>
        <v>1049226.4000015259</v>
      </c>
      <c r="J26" s="7">
        <f t="shared" si="3"/>
        <v>206851.43832134461</v>
      </c>
    </row>
    <row r="27" spans="1:10" x14ac:dyDescent="0.3">
      <c r="A27" s="18">
        <f t="shared" si="4"/>
        <v>2044</v>
      </c>
      <c r="B27" s="140">
        <v>25</v>
      </c>
      <c r="C27" s="7">
        <v>12555963519.6</v>
      </c>
      <c r="D27" s="7">
        <v>12554456276.4</v>
      </c>
      <c r="E27" s="29">
        <f t="shared" si="0"/>
        <v>1507243.2000007629</v>
      </c>
      <c r="F27" s="7">
        <v>32744547143</v>
      </c>
      <c r="G27" s="7">
        <v>32745053507</v>
      </c>
      <c r="H27" s="29">
        <f t="shared" si="1"/>
        <v>-506364</v>
      </c>
      <c r="I27" s="29">
        <f t="shared" si="2"/>
        <v>1000879.2000007629</v>
      </c>
      <c r="J27" s="7">
        <f>I27/((1.07)^B27)</f>
        <v>184411.16939925769</v>
      </c>
    </row>
    <row r="28" spans="1:10" x14ac:dyDescent="0.3">
      <c r="A28" s="18">
        <f t="shared" si="4"/>
        <v>2045</v>
      </c>
      <c r="B28" s="140">
        <v>26</v>
      </c>
      <c r="C28" s="7">
        <v>12669633481</v>
      </c>
      <c r="D28" s="7">
        <v>12668132689</v>
      </c>
      <c r="E28" s="29">
        <f t="shared" si="0"/>
        <v>1500792</v>
      </c>
      <c r="F28" s="7">
        <v>33014754157.5</v>
      </c>
      <c r="G28" s="7">
        <v>33015302417.5</v>
      </c>
      <c r="H28" s="29">
        <f t="shared" si="1"/>
        <v>-548260</v>
      </c>
      <c r="I28" s="29">
        <f t="shared" si="2"/>
        <v>952532</v>
      </c>
      <c r="J28" s="7">
        <f t="shared" ref="J28:J29" si="5">I28/((1.07)^B28)</f>
        <v>164021.7173491719</v>
      </c>
    </row>
    <row r="29" spans="1:10" x14ac:dyDescent="0.3">
      <c r="A29" s="18">
        <f t="shared" si="4"/>
        <v>2046</v>
      </c>
      <c r="B29" s="140">
        <v>27</v>
      </c>
      <c r="C29" s="7">
        <v>12783303442.4</v>
      </c>
      <c r="D29" s="7">
        <v>12781809101.6</v>
      </c>
      <c r="E29" s="29">
        <f t="shared" si="0"/>
        <v>1494340.7999992371</v>
      </c>
      <c r="F29" s="7">
        <v>33284961172</v>
      </c>
      <c r="G29" s="7">
        <v>33285551328</v>
      </c>
      <c r="H29" s="29">
        <f t="shared" si="1"/>
        <v>-590156</v>
      </c>
      <c r="I29" s="29">
        <f t="shared" si="2"/>
        <v>904184.79999923706</v>
      </c>
      <c r="J29" s="7">
        <f t="shared" si="5"/>
        <v>145510.79197132509</v>
      </c>
    </row>
    <row r="30" spans="1:10" x14ac:dyDescent="0.3">
      <c r="A30" s="143"/>
      <c r="B30" s="144"/>
      <c r="C30" s="21"/>
      <c r="D30" s="21"/>
      <c r="E30" s="98">
        <f>SUM(E2:E29)</f>
        <v>32735908.799999237</v>
      </c>
      <c r="F30" s="21"/>
      <c r="G30" s="21"/>
      <c r="H30" s="98">
        <f>SUM(H2:H29)</f>
        <v>-3595116</v>
      </c>
      <c r="I30" s="182">
        <f t="shared" si="2"/>
        <v>29140792.799999237</v>
      </c>
      <c r="J30" s="182">
        <f>SUM(J2:J29)</f>
        <v>10857241.333297087</v>
      </c>
    </row>
    <row r="32" spans="1:10" x14ac:dyDescent="0.3">
      <c r="A32" s="7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fitToPage="1"/>
  </sheetPr>
  <dimension ref="A1:AN45"/>
  <sheetViews>
    <sheetView zoomScale="85" zoomScaleNormal="85" workbookViewId="0">
      <selection activeCell="C21" sqref="C21"/>
    </sheetView>
  </sheetViews>
  <sheetFormatPr defaultColWidth="9" defaultRowHeight="14.5" x14ac:dyDescent="0.35"/>
  <cols>
    <col min="1" max="2" width="9" style="59"/>
    <col min="3" max="3" width="13.61328125" style="59" customWidth="1"/>
    <col min="4" max="4" width="11.61328125" style="59" customWidth="1"/>
    <col min="5" max="16384" width="9" style="59"/>
  </cols>
  <sheetData>
    <row r="1" spans="1:40" ht="43.5" x14ac:dyDescent="0.35">
      <c r="A1" s="92" t="s">
        <v>1</v>
      </c>
      <c r="B1" s="92" t="s">
        <v>2</v>
      </c>
      <c r="C1" s="93" t="s">
        <v>25</v>
      </c>
      <c r="D1" s="94" t="s">
        <v>26</v>
      </c>
      <c r="E1" s="91"/>
      <c r="F1" s="91"/>
      <c r="G1" s="91"/>
      <c r="H1" s="91"/>
      <c r="I1" s="91"/>
      <c r="J1" s="91"/>
    </row>
    <row r="2" spans="1:40" x14ac:dyDescent="0.35">
      <c r="A2" s="95">
        <v>2019</v>
      </c>
      <c r="B2" s="95">
        <v>0</v>
      </c>
      <c r="C2" s="83"/>
      <c r="D2" s="84">
        <v>0</v>
      </c>
      <c r="E2" s="102"/>
      <c r="F2" s="103"/>
      <c r="G2" s="104"/>
      <c r="H2" s="105"/>
      <c r="I2" s="105"/>
      <c r="J2" s="105"/>
      <c r="K2" s="60"/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</row>
    <row r="3" spans="1:40" x14ac:dyDescent="0.35">
      <c r="A3" s="95">
        <f t="shared" ref="A3:A29" si="0">A2+1</f>
        <v>2020</v>
      </c>
      <c r="B3" s="95">
        <v>1</v>
      </c>
      <c r="C3" s="85"/>
      <c r="D3" s="84">
        <f t="shared" ref="D3:D29" si="1">C3/(1.07^B3)</f>
        <v>0</v>
      </c>
      <c r="E3" s="91"/>
      <c r="F3" s="105"/>
      <c r="G3" s="104"/>
      <c r="H3" s="105"/>
      <c r="I3" s="105"/>
      <c r="J3" s="105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</row>
    <row r="4" spans="1:40" x14ac:dyDescent="0.35">
      <c r="A4" s="95">
        <f t="shared" si="0"/>
        <v>2021</v>
      </c>
      <c r="B4" s="95">
        <v>2</v>
      </c>
      <c r="C4" s="85"/>
      <c r="D4" s="84">
        <f t="shared" si="1"/>
        <v>0</v>
      </c>
      <c r="E4" s="91"/>
      <c r="F4" s="105"/>
      <c r="G4" s="104"/>
      <c r="H4" s="105"/>
      <c r="I4" s="57"/>
      <c r="J4" s="105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40" x14ac:dyDescent="0.35">
      <c r="A5" s="95">
        <f t="shared" si="0"/>
        <v>2022</v>
      </c>
      <c r="B5" s="95">
        <v>3</v>
      </c>
      <c r="C5" s="85"/>
      <c r="D5" s="84">
        <f t="shared" si="1"/>
        <v>0</v>
      </c>
      <c r="E5" s="91"/>
      <c r="F5" s="91"/>
      <c r="G5" s="105"/>
      <c r="H5" s="105"/>
      <c r="I5" s="106"/>
      <c r="J5" s="105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</row>
    <row r="6" spans="1:40" x14ac:dyDescent="0.35">
      <c r="A6" s="95">
        <f t="shared" si="0"/>
        <v>2023</v>
      </c>
      <c r="B6" s="95">
        <v>4</v>
      </c>
      <c r="C6" s="85"/>
      <c r="D6" s="84">
        <f t="shared" si="1"/>
        <v>0</v>
      </c>
      <c r="E6" s="91"/>
      <c r="F6" s="107"/>
      <c r="G6" s="105"/>
      <c r="H6" s="105"/>
      <c r="I6" s="91"/>
      <c r="J6" s="57"/>
      <c r="K6" s="58"/>
      <c r="L6" s="58"/>
    </row>
    <row r="7" spans="1:40" x14ac:dyDescent="0.35">
      <c r="A7" s="95">
        <f t="shared" si="0"/>
        <v>2024</v>
      </c>
      <c r="B7" s="95">
        <v>5</v>
      </c>
      <c r="C7" s="85"/>
      <c r="D7" s="84">
        <f t="shared" si="1"/>
        <v>0</v>
      </c>
      <c r="E7" s="91"/>
      <c r="F7" s="105"/>
      <c r="G7" s="105"/>
      <c r="H7" s="105"/>
      <c r="I7" s="91"/>
      <c r="J7" s="107"/>
      <c r="K7" s="58"/>
      <c r="L7" s="58"/>
    </row>
    <row r="8" spans="1:40" x14ac:dyDescent="0.35">
      <c r="A8" s="95">
        <f t="shared" si="0"/>
        <v>2025</v>
      </c>
      <c r="B8" s="95">
        <v>6</v>
      </c>
      <c r="C8" s="85"/>
      <c r="D8" s="84">
        <f t="shared" si="1"/>
        <v>0</v>
      </c>
      <c r="E8" s="91"/>
      <c r="F8" s="91"/>
      <c r="G8" s="105"/>
      <c r="H8" s="105"/>
      <c r="I8" s="91"/>
      <c r="J8" s="107"/>
      <c r="K8" s="58"/>
      <c r="L8" s="58"/>
    </row>
    <row r="9" spans="1:40" x14ac:dyDescent="0.35">
      <c r="A9" s="95">
        <f t="shared" si="0"/>
        <v>2026</v>
      </c>
      <c r="B9" s="95">
        <v>7</v>
      </c>
      <c r="C9" s="85">
        <v>2404973.0792963584</v>
      </c>
      <c r="D9" s="84">
        <f t="shared" si="1"/>
        <v>1497696.3643711975</v>
      </c>
      <c r="E9" s="91"/>
      <c r="F9" s="105"/>
      <c r="G9" s="105"/>
      <c r="H9" s="105"/>
      <c r="I9" s="91"/>
      <c r="J9" s="107"/>
      <c r="K9" s="58"/>
      <c r="L9" s="58"/>
    </row>
    <row r="10" spans="1:40" x14ac:dyDescent="0.35">
      <c r="A10" s="95">
        <f t="shared" si="0"/>
        <v>2027</v>
      </c>
      <c r="B10" s="95">
        <v>8</v>
      </c>
      <c r="C10" s="85">
        <v>2451389.0597267784</v>
      </c>
      <c r="D10" s="84">
        <f t="shared" si="1"/>
        <v>1426730.7515921139</v>
      </c>
      <c r="E10" s="91"/>
      <c r="F10" s="91"/>
      <c r="G10" s="105"/>
      <c r="H10" s="105"/>
      <c r="I10" s="91"/>
      <c r="J10" s="105"/>
      <c r="K10" s="58"/>
      <c r="L10" s="58"/>
    </row>
    <row r="11" spans="1:40" x14ac:dyDescent="0.35">
      <c r="A11" s="95">
        <f t="shared" si="0"/>
        <v>2028</v>
      </c>
      <c r="B11" s="95">
        <v>9</v>
      </c>
      <c r="C11" s="85">
        <v>2498700.8685795059</v>
      </c>
      <c r="D11" s="84">
        <f t="shared" si="1"/>
        <v>1359127.7150447119</v>
      </c>
      <c r="E11" s="91"/>
      <c r="F11" s="91"/>
      <c r="G11" s="105"/>
      <c r="H11" s="105"/>
      <c r="I11" s="91"/>
      <c r="J11" s="105"/>
      <c r="K11" s="58"/>
      <c r="L11" s="58"/>
    </row>
    <row r="12" spans="1:40" x14ac:dyDescent="0.35">
      <c r="A12" s="95">
        <f t="shared" si="0"/>
        <v>2029</v>
      </c>
      <c r="B12" s="95">
        <v>10</v>
      </c>
      <c r="C12" s="85">
        <v>2546925.7953430903</v>
      </c>
      <c r="D12" s="84">
        <f t="shared" si="1"/>
        <v>1294727.9251823132</v>
      </c>
      <c r="E12" s="91"/>
      <c r="F12" s="91"/>
      <c r="G12" s="105"/>
      <c r="H12" s="105"/>
      <c r="I12" s="91"/>
      <c r="J12" s="105"/>
      <c r="K12" s="58"/>
      <c r="L12" s="58"/>
    </row>
    <row r="13" spans="1:40" x14ac:dyDescent="0.35">
      <c r="A13" s="95">
        <f t="shared" si="0"/>
        <v>2030</v>
      </c>
      <c r="B13" s="95">
        <v>11</v>
      </c>
      <c r="C13" s="85">
        <v>2596081.4631932122</v>
      </c>
      <c r="D13" s="84">
        <f t="shared" si="1"/>
        <v>1233379.6019984409</v>
      </c>
      <c r="E13" s="91"/>
      <c r="F13" s="91"/>
      <c r="G13" s="105"/>
      <c r="H13" s="105"/>
      <c r="I13" s="91"/>
      <c r="J13" s="91"/>
      <c r="L13" s="58"/>
    </row>
    <row r="14" spans="1:40" x14ac:dyDescent="0.35">
      <c r="A14" s="95">
        <f t="shared" si="0"/>
        <v>2031</v>
      </c>
      <c r="B14" s="95">
        <v>12</v>
      </c>
      <c r="C14" s="85">
        <v>2646185.8354328414</v>
      </c>
      <c r="D14" s="84">
        <f t="shared" si="1"/>
        <v>1174938.1573056178</v>
      </c>
      <c r="E14" s="91"/>
      <c r="F14" s="91"/>
      <c r="G14" s="105"/>
      <c r="H14" s="105"/>
      <c r="I14" s="91"/>
      <c r="J14" s="91"/>
      <c r="L14" s="58"/>
    </row>
    <row r="15" spans="1:40" x14ac:dyDescent="0.35">
      <c r="A15" s="95">
        <f t="shared" si="0"/>
        <v>2032</v>
      </c>
      <c r="B15" s="95">
        <v>13</v>
      </c>
      <c r="C15" s="85">
        <v>2697257.2220566953</v>
      </c>
      <c r="D15" s="84">
        <f t="shared" si="1"/>
        <v>1119265.8539641271</v>
      </c>
      <c r="E15" s="91"/>
      <c r="F15" s="91"/>
      <c r="G15" s="105"/>
      <c r="H15" s="105"/>
      <c r="I15" s="91"/>
      <c r="J15" s="91"/>
      <c r="L15" s="58"/>
    </row>
    <row r="16" spans="1:40" x14ac:dyDescent="0.35">
      <c r="A16" s="95">
        <f t="shared" si="0"/>
        <v>2033</v>
      </c>
      <c r="B16" s="95">
        <v>14</v>
      </c>
      <c r="C16" s="85">
        <v>2749314.2864423892</v>
      </c>
      <c r="D16" s="84">
        <f t="shared" si="1"/>
        <v>1066231.4812576028</v>
      </c>
      <c r="E16" s="91"/>
      <c r="F16" s="91"/>
      <c r="G16" s="104"/>
      <c r="H16" s="105"/>
      <c r="I16" s="91"/>
      <c r="J16" s="91"/>
      <c r="L16" s="58"/>
    </row>
    <row r="17" spans="1:12" x14ac:dyDescent="0.35">
      <c r="A17" s="95">
        <f t="shared" si="0"/>
        <v>2034</v>
      </c>
      <c r="B17" s="95">
        <v>15</v>
      </c>
      <c r="C17" s="85">
        <v>2802376.0521707279</v>
      </c>
      <c r="D17" s="84">
        <f t="shared" si="1"/>
        <v>1015710.0456503499</v>
      </c>
      <c r="E17" s="91"/>
      <c r="F17" s="91"/>
      <c r="G17" s="91"/>
      <c r="H17" s="105"/>
      <c r="I17" s="91"/>
      <c r="J17" s="91"/>
      <c r="L17" s="58"/>
    </row>
    <row r="18" spans="1:12" x14ac:dyDescent="0.35">
      <c r="A18" s="95">
        <f t="shared" si="0"/>
        <v>2035</v>
      </c>
      <c r="B18" s="95">
        <v>16</v>
      </c>
      <c r="C18" s="85">
        <v>2856461.9099776237</v>
      </c>
      <c r="D18" s="84">
        <f t="shared" si="1"/>
        <v>967582.47619757208</v>
      </c>
      <c r="E18" s="91"/>
      <c r="F18" s="91"/>
      <c r="G18" s="91"/>
      <c r="H18" s="105"/>
      <c r="I18" s="91"/>
      <c r="J18" s="91"/>
      <c r="L18" s="58"/>
    </row>
    <row r="19" spans="1:12" x14ac:dyDescent="0.35">
      <c r="A19" s="95">
        <f t="shared" si="0"/>
        <v>2036</v>
      </c>
      <c r="B19" s="95">
        <v>17</v>
      </c>
      <c r="C19" s="85">
        <v>2911591.624840192</v>
      </c>
      <c r="D19" s="84">
        <f t="shared" si="1"/>
        <v>921735.34391419194</v>
      </c>
      <c r="E19" s="91"/>
      <c r="F19" s="91"/>
      <c r="G19" s="105"/>
      <c r="H19" s="91"/>
      <c r="I19" s="91"/>
      <c r="J19" s="105"/>
      <c r="L19" s="58"/>
    </row>
    <row r="20" spans="1:12" x14ac:dyDescent="0.35">
      <c r="A20" s="95">
        <f t="shared" si="0"/>
        <v>2037</v>
      </c>
      <c r="B20" s="95">
        <v>18</v>
      </c>
      <c r="C20" s="85">
        <v>2967785.3431996079</v>
      </c>
      <c r="D20" s="84">
        <f t="shared" si="1"/>
        <v>878060.59444087464</v>
      </c>
      <c r="E20" s="91"/>
      <c r="F20" s="91"/>
      <c r="G20" s="91"/>
      <c r="H20" s="91"/>
      <c r="I20" s="105"/>
      <c r="J20" s="91"/>
      <c r="L20" s="58"/>
    </row>
    <row r="21" spans="1:12" x14ac:dyDescent="0.35">
      <c r="A21" s="95">
        <f t="shared" si="0"/>
        <v>2038</v>
      </c>
      <c r="B21" s="95">
        <v>19</v>
      </c>
      <c r="C21" s="85">
        <v>3025063.6003233609</v>
      </c>
      <c r="D21" s="84">
        <f t="shared" si="1"/>
        <v>836455.29337718093</v>
      </c>
      <c r="E21" s="91"/>
      <c r="F21" s="91"/>
      <c r="G21" s="91"/>
      <c r="H21" s="105"/>
      <c r="I21" s="105"/>
      <c r="J21" s="91"/>
    </row>
    <row r="22" spans="1:12" x14ac:dyDescent="0.35">
      <c r="A22" s="95">
        <f t="shared" si="0"/>
        <v>2039</v>
      </c>
      <c r="B22" s="95">
        <v>20</v>
      </c>
      <c r="C22" s="85">
        <v>3083447.3278096016</v>
      </c>
      <c r="D22" s="84">
        <f t="shared" si="1"/>
        <v>796821.38368164538</v>
      </c>
      <c r="E22" s="91"/>
      <c r="F22" s="91"/>
      <c r="G22" s="91"/>
      <c r="H22" s="91"/>
      <c r="I22" s="105"/>
      <c r="J22" s="91"/>
    </row>
    <row r="23" spans="1:12" x14ac:dyDescent="0.35">
      <c r="A23" s="95">
        <f t="shared" si="0"/>
        <v>2040</v>
      </c>
      <c r="B23" s="95">
        <v>21</v>
      </c>
      <c r="C23" s="85">
        <v>3142957.8612363273</v>
      </c>
      <c r="D23" s="84">
        <f t="shared" si="1"/>
        <v>759065.4545670104</v>
      </c>
      <c r="E23" s="91"/>
      <c r="F23" s="91"/>
      <c r="G23" s="91"/>
      <c r="H23" s="105"/>
      <c r="I23" s="105"/>
      <c r="J23" s="91"/>
    </row>
    <row r="24" spans="1:12" x14ac:dyDescent="0.35">
      <c r="A24" s="108">
        <f t="shared" si="0"/>
        <v>2041</v>
      </c>
      <c r="B24" s="108">
        <v>22</v>
      </c>
      <c r="C24" s="85">
        <v>3203616.9479581881</v>
      </c>
      <c r="D24" s="84">
        <f t="shared" si="1"/>
        <v>723098.52134593797</v>
      </c>
      <c r="E24" s="91"/>
      <c r="F24" s="91"/>
      <c r="G24" s="91"/>
      <c r="H24" s="91"/>
      <c r="I24" s="105"/>
      <c r="J24" s="91"/>
    </row>
    <row r="25" spans="1:12" x14ac:dyDescent="0.35">
      <c r="A25" s="95">
        <f t="shared" si="0"/>
        <v>2042</v>
      </c>
      <c r="B25" s="95">
        <v>23</v>
      </c>
      <c r="C25" s="85">
        <v>3265446.7550537819</v>
      </c>
      <c r="D25" s="84">
        <f t="shared" si="1"/>
        <v>688835.81570833153</v>
      </c>
      <c r="E25" s="91"/>
      <c r="F25" s="91"/>
      <c r="G25" s="91"/>
      <c r="H25" s="91"/>
      <c r="I25" s="105"/>
      <c r="J25" s="91"/>
    </row>
    <row r="26" spans="1:12" x14ac:dyDescent="0.35">
      <c r="A26" s="95">
        <f t="shared" si="0"/>
        <v>2043</v>
      </c>
      <c r="B26" s="95">
        <v>24</v>
      </c>
      <c r="C26" s="85">
        <v>3328469.8774263207</v>
      </c>
      <c r="D26" s="84">
        <f t="shared" si="1"/>
        <v>656196.58593598369</v>
      </c>
      <c r="E26" s="91"/>
      <c r="F26" s="91"/>
      <c r="G26" s="91"/>
      <c r="H26" s="91"/>
      <c r="I26" s="105"/>
      <c r="J26" s="91"/>
    </row>
    <row r="27" spans="1:12" x14ac:dyDescent="0.35">
      <c r="A27" s="95">
        <f t="shared" si="0"/>
        <v>2044</v>
      </c>
      <c r="B27" s="95">
        <v>25</v>
      </c>
      <c r="C27" s="85">
        <v>3392709.3460606486</v>
      </c>
      <c r="D27" s="84">
        <f t="shared" si="1"/>
        <v>625103.90658368974</v>
      </c>
      <c r="E27" s="91"/>
      <c r="F27" s="91"/>
      <c r="G27" s="105"/>
      <c r="H27" s="91"/>
      <c r="I27" s="91"/>
      <c r="J27" s="105"/>
    </row>
    <row r="28" spans="1:12" x14ac:dyDescent="0.35">
      <c r="A28" s="95">
        <f t="shared" si="0"/>
        <v>2045</v>
      </c>
      <c r="B28" s="95">
        <v>26</v>
      </c>
      <c r="C28" s="85">
        <v>3458188.6364396196</v>
      </c>
      <c r="D28" s="84">
        <f t="shared" si="1"/>
        <v>595484.49717827584</v>
      </c>
      <c r="E28" s="91"/>
      <c r="F28" s="107"/>
      <c r="G28" s="91"/>
      <c r="H28" s="91"/>
      <c r="I28" s="105"/>
      <c r="J28" s="91"/>
    </row>
    <row r="29" spans="1:12" x14ac:dyDescent="0.35">
      <c r="A29" s="95">
        <f t="shared" si="0"/>
        <v>2046</v>
      </c>
      <c r="B29" s="95">
        <v>27</v>
      </c>
      <c r="C29" s="85">
        <v>3524931.6771229045</v>
      </c>
      <c r="D29" s="84">
        <f t="shared" si="1"/>
        <v>567268.54950823972</v>
      </c>
      <c r="E29" s="91"/>
      <c r="F29" s="107"/>
      <c r="G29" s="91"/>
      <c r="H29" s="91"/>
      <c r="I29" s="105"/>
      <c r="J29" s="91"/>
    </row>
    <row r="30" spans="1:12" x14ac:dyDescent="0.35">
      <c r="A30" s="91"/>
      <c r="B30" s="91"/>
      <c r="C30" s="91"/>
      <c r="D30" s="91"/>
      <c r="E30" s="91"/>
      <c r="F30" s="107"/>
      <c r="G30" s="91"/>
      <c r="H30" s="91"/>
      <c r="I30" s="105"/>
      <c r="J30" s="91"/>
    </row>
    <row r="31" spans="1:12" x14ac:dyDescent="0.35">
      <c r="A31" s="91"/>
      <c r="B31" s="91"/>
      <c r="C31" s="96"/>
      <c r="D31" s="84">
        <f>SUM(D3:D29)</f>
        <v>20203516.318805408</v>
      </c>
      <c r="E31" s="91"/>
      <c r="F31" s="91"/>
      <c r="G31" s="91"/>
      <c r="H31" s="91"/>
      <c r="I31" s="91"/>
      <c r="J31" s="91"/>
    </row>
    <row r="32" spans="1:12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x14ac:dyDescent="0.35">
      <c r="A33" s="75"/>
      <c r="B33" s="91"/>
      <c r="C33" s="91"/>
      <c r="D33" s="91"/>
      <c r="E33" s="76"/>
      <c r="F33" s="91"/>
      <c r="G33" s="91"/>
      <c r="H33" s="91"/>
      <c r="I33" s="91"/>
      <c r="J33" s="91"/>
    </row>
    <row r="34" spans="1:10" x14ac:dyDescent="0.35">
      <c r="A34" s="91"/>
      <c r="B34" s="141"/>
      <c r="C34" s="76"/>
      <c r="D34" s="76"/>
      <c r="E34" s="76"/>
      <c r="F34" s="91"/>
      <c r="G34" s="91"/>
      <c r="H34" s="91"/>
      <c r="I34" s="91"/>
      <c r="J34" s="91"/>
    </row>
    <row r="35" spans="1:10" x14ac:dyDescent="0.35">
      <c r="A35" s="91"/>
      <c r="B35" s="76"/>
      <c r="C35" s="76"/>
      <c r="D35" s="76"/>
      <c r="E35" s="76"/>
      <c r="F35" s="91"/>
      <c r="G35" s="91"/>
      <c r="H35" s="91"/>
      <c r="I35" s="91"/>
      <c r="J35" s="91"/>
    </row>
    <row r="36" spans="1:10" x14ac:dyDescent="0.35">
      <c r="A36" s="142"/>
      <c r="B36" s="91"/>
      <c r="C36" s="76"/>
      <c r="D36" s="76"/>
      <c r="E36" s="76"/>
      <c r="F36" s="91"/>
      <c r="G36" s="91"/>
      <c r="H36" s="91"/>
      <c r="I36" s="91"/>
      <c r="J36" s="91"/>
    </row>
    <row r="37" spans="1:10" x14ac:dyDescent="0.35">
      <c r="A37" s="142"/>
      <c r="B37" s="91"/>
      <c r="C37" s="76"/>
      <c r="D37" s="76"/>
      <c r="E37" s="76"/>
      <c r="F37" s="91"/>
      <c r="G37" s="91"/>
      <c r="H37" s="91"/>
      <c r="I37" s="91"/>
      <c r="J37" s="91"/>
    </row>
    <row r="38" spans="1:10" x14ac:dyDescent="0.35">
      <c r="A38" s="124"/>
      <c r="B38" s="91"/>
      <c r="C38" s="76"/>
      <c r="D38" s="76"/>
      <c r="E38" s="91"/>
      <c r="F38" s="91"/>
      <c r="G38" s="91"/>
      <c r="H38" s="91"/>
      <c r="I38" s="91"/>
      <c r="J38" s="91"/>
    </row>
    <row r="39" spans="1:10" x14ac:dyDescent="0.35">
      <c r="A39" s="124"/>
      <c r="B39" s="91"/>
      <c r="C39" s="91"/>
      <c r="D39" s="91"/>
      <c r="E39" s="91"/>
      <c r="F39" s="91"/>
      <c r="G39" s="105"/>
      <c r="H39" s="91"/>
      <c r="I39" s="91"/>
      <c r="J39" s="91"/>
    </row>
    <row r="40" spans="1:10" x14ac:dyDescent="0.35">
      <c r="A40" s="121"/>
      <c r="B40" s="91"/>
      <c r="C40" s="91"/>
      <c r="D40" s="91"/>
      <c r="E40" s="91"/>
      <c r="F40" s="91"/>
      <c r="G40" s="105"/>
      <c r="H40" s="91"/>
      <c r="I40" s="91"/>
      <c r="J40" s="91"/>
    </row>
    <row r="41" spans="1:10" x14ac:dyDescent="0.35">
      <c r="A41" s="121"/>
      <c r="B41" s="91"/>
      <c r="C41" s="91"/>
      <c r="D41" s="91"/>
      <c r="E41" s="91"/>
      <c r="F41" s="91"/>
      <c r="G41" s="105"/>
      <c r="H41" s="91"/>
      <c r="I41" s="91"/>
      <c r="J41" s="91"/>
    </row>
    <row r="42" spans="1:10" x14ac:dyDescent="0.35">
      <c r="A42" s="121"/>
      <c r="B42" s="91"/>
      <c r="C42" s="91"/>
      <c r="D42" s="91"/>
      <c r="E42" s="91"/>
      <c r="F42" s="91"/>
      <c r="G42" s="91"/>
      <c r="H42" s="91"/>
      <c r="I42" s="91"/>
      <c r="J42" s="91"/>
    </row>
    <row r="43" spans="1:10" x14ac:dyDescent="0.35">
      <c r="A43" s="101"/>
      <c r="B43" s="91"/>
      <c r="C43" s="91"/>
      <c r="D43" s="91"/>
      <c r="E43" s="91"/>
      <c r="F43" s="91"/>
      <c r="G43" s="91"/>
      <c r="H43" s="91"/>
      <c r="I43" s="91"/>
      <c r="J43" s="91"/>
    </row>
    <row r="44" spans="1:10" x14ac:dyDescent="0.35">
      <c r="A44" s="101"/>
      <c r="B44" s="91"/>
      <c r="C44" s="91"/>
      <c r="D44" s="91"/>
      <c r="E44" s="91"/>
      <c r="F44" s="91"/>
      <c r="G44" s="91"/>
      <c r="H44" s="91"/>
      <c r="I44" s="91"/>
      <c r="J44" s="91"/>
    </row>
    <row r="45" spans="1:10" x14ac:dyDescent="0.35">
      <c r="A45" s="91"/>
      <c r="B45" s="91"/>
      <c r="C45" s="91"/>
      <c r="D45" s="91"/>
    </row>
  </sheetData>
  <dataValidations count="1">
    <dataValidation type="list" allowBlank="1" showInputMessage="1" sqref="F28:F30 J6:J9 I4 F6" xr:uid="{00000000-0002-0000-0300-000000000000}">
      <formula1>$AL$8:$AL$68</formula1>
    </dataValidation>
  </dataValidations>
  <pageMargins left="0.7" right="0.7" top="0.75" bottom="0.75" header="0.3" footer="0.3"/>
  <pageSetup scale="9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Z38"/>
  <sheetViews>
    <sheetView workbookViewId="0"/>
  </sheetViews>
  <sheetFormatPr defaultRowHeight="13.5" x14ac:dyDescent="0.3"/>
  <cols>
    <col min="3" max="3" width="13.4609375" customWidth="1"/>
    <col min="4" max="4" width="13.3828125" customWidth="1"/>
    <col min="5" max="6" width="13.84375" customWidth="1"/>
    <col min="7" max="7" width="14.84375" customWidth="1"/>
    <col min="8" max="8" width="14" customWidth="1"/>
    <col min="9" max="9" width="15.84375" customWidth="1"/>
    <col min="10" max="10" width="12.15234375" customWidth="1"/>
    <col min="11" max="11" width="13.4609375" customWidth="1"/>
    <col min="12" max="12" width="11.61328125" customWidth="1"/>
    <col min="15" max="16" width="10.84375" customWidth="1"/>
    <col min="17" max="17" width="11.23046875" customWidth="1"/>
    <col min="18" max="18" width="15.61328125" customWidth="1"/>
    <col min="19" max="19" width="15.3828125" customWidth="1"/>
    <col min="20" max="22" width="11.23046875" customWidth="1"/>
    <col min="23" max="23" width="12.4609375" bestFit="1" customWidth="1"/>
    <col min="24" max="24" width="12.4609375" customWidth="1"/>
    <col min="25" max="25" width="18.4609375" customWidth="1"/>
    <col min="26" max="26" width="12.4609375" bestFit="1" customWidth="1"/>
  </cols>
  <sheetData>
    <row r="1" spans="1:25" ht="67.5" x14ac:dyDescent="0.3">
      <c r="A1" s="19" t="s">
        <v>0</v>
      </c>
      <c r="B1" s="43" t="s">
        <v>5</v>
      </c>
      <c r="C1" s="43" t="s">
        <v>83</v>
      </c>
      <c r="D1" s="43" t="s">
        <v>84</v>
      </c>
      <c r="E1" s="43" t="s">
        <v>85</v>
      </c>
      <c r="F1" s="43" t="s">
        <v>86</v>
      </c>
      <c r="G1" s="43" t="s">
        <v>27</v>
      </c>
      <c r="H1" s="43" t="s">
        <v>87</v>
      </c>
      <c r="I1" s="43" t="s">
        <v>88</v>
      </c>
      <c r="J1" s="43" t="s">
        <v>89</v>
      </c>
      <c r="K1" s="43" t="s">
        <v>90</v>
      </c>
      <c r="L1" s="43" t="s">
        <v>28</v>
      </c>
      <c r="M1" s="43" t="s">
        <v>91</v>
      </c>
      <c r="N1" s="43" t="s">
        <v>92</v>
      </c>
      <c r="O1" s="43" t="s">
        <v>93</v>
      </c>
      <c r="P1" s="42" t="s">
        <v>94</v>
      </c>
      <c r="Q1" s="43" t="s">
        <v>29</v>
      </c>
      <c r="R1" s="43" t="s">
        <v>95</v>
      </c>
      <c r="S1" s="43" t="s">
        <v>96</v>
      </c>
      <c r="T1" s="43" t="s">
        <v>97</v>
      </c>
      <c r="U1" s="42" t="s">
        <v>98</v>
      </c>
      <c r="V1" s="43" t="s">
        <v>59</v>
      </c>
      <c r="W1" s="43" t="s">
        <v>76</v>
      </c>
      <c r="X1" s="43" t="s">
        <v>74</v>
      </c>
      <c r="Y1" s="43" t="s">
        <v>75</v>
      </c>
    </row>
    <row r="2" spans="1:25" x14ac:dyDescent="0.3">
      <c r="A2" s="18">
        <v>2019</v>
      </c>
      <c r="B2" s="5">
        <v>0</v>
      </c>
      <c r="C2" s="148"/>
      <c r="D2" s="148"/>
      <c r="E2" s="7">
        <f>(C2-D2)*1.1015</f>
        <v>0</v>
      </c>
      <c r="F2" s="6"/>
      <c r="G2" s="6">
        <f>E2*F2</f>
        <v>0</v>
      </c>
      <c r="H2" s="149"/>
      <c r="I2" s="149"/>
      <c r="J2" s="7">
        <f>(H2-I2)*1.1015</f>
        <v>0</v>
      </c>
      <c r="K2" s="6"/>
      <c r="L2" s="6">
        <f>J2*K2</f>
        <v>0</v>
      </c>
      <c r="M2" s="79"/>
      <c r="N2" s="79"/>
      <c r="O2" s="62">
        <f>(M2-N2)*1.1015</f>
        <v>0</v>
      </c>
      <c r="P2" s="63"/>
      <c r="Q2" s="64">
        <f>O2*P2</f>
        <v>0</v>
      </c>
      <c r="R2" s="138"/>
      <c r="S2" s="138"/>
      <c r="T2" s="138">
        <f>(R2-S2)*1.1015</f>
        <v>0</v>
      </c>
      <c r="U2" s="64"/>
      <c r="V2" s="64">
        <f>T2*U2</f>
        <v>0</v>
      </c>
      <c r="W2" s="64">
        <f>V2/((1.03)^B2)</f>
        <v>0</v>
      </c>
      <c r="X2" s="65">
        <f>Q2+L2+G2</f>
        <v>0</v>
      </c>
      <c r="Y2" s="65">
        <f t="shared" ref="Y2:Y29" si="0">X2/((1.07)^B2)</f>
        <v>0</v>
      </c>
    </row>
    <row r="3" spans="1:25" x14ac:dyDescent="0.3">
      <c r="A3" s="18">
        <f>A2+1</f>
        <v>2020</v>
      </c>
      <c r="B3" s="5">
        <v>1</v>
      </c>
      <c r="C3" s="148"/>
      <c r="D3" s="148"/>
      <c r="E3" s="7">
        <f t="shared" ref="E3:E29" si="1">(C3-D3)*1.1015</f>
        <v>0</v>
      </c>
      <c r="F3" s="6">
        <f>'Monitized Values'!D33</f>
        <v>15700</v>
      </c>
      <c r="G3" s="6">
        <f t="shared" ref="G3:G23" si="2">E3*F3</f>
        <v>0</v>
      </c>
      <c r="H3" s="149"/>
      <c r="I3" s="149"/>
      <c r="J3" s="7">
        <f t="shared" ref="J3:J29" si="3">(H3-I3)*1.1015</f>
        <v>0</v>
      </c>
      <c r="K3" s="6">
        <f>'Monitized Values'!F33</f>
        <v>729300</v>
      </c>
      <c r="L3" s="6">
        <f t="shared" ref="L3:L23" si="4">J3*K3</f>
        <v>0</v>
      </c>
      <c r="M3" s="79"/>
      <c r="N3" s="79"/>
      <c r="O3" s="62">
        <f t="shared" ref="O3:O29" si="5">(M3-N3)*1.1015</f>
        <v>0</v>
      </c>
      <c r="P3" s="63">
        <f>'Monitized Values'!E33</f>
        <v>40400</v>
      </c>
      <c r="Q3" s="64">
        <f t="shared" ref="Q3:Q23" si="6">O3*P3</f>
        <v>0</v>
      </c>
      <c r="R3" s="138"/>
      <c r="S3" s="138"/>
      <c r="T3" s="138">
        <f t="shared" ref="T3:T29" si="7">(R3-S3)*1.1015</f>
        <v>0</v>
      </c>
      <c r="U3" s="64">
        <f>'Monitized Values'!G33</f>
        <v>50</v>
      </c>
      <c r="V3" s="64">
        <f t="shared" ref="V3:V26" si="8">T3*U3</f>
        <v>0</v>
      </c>
      <c r="W3" s="64">
        <f t="shared" ref="W3:W29" si="9">V3/((1.03)^B3)</f>
        <v>0</v>
      </c>
      <c r="X3" s="65">
        <f t="shared" ref="X3:X29" si="10">Q3+L3+G3</f>
        <v>0</v>
      </c>
      <c r="Y3" s="65">
        <f t="shared" si="0"/>
        <v>0</v>
      </c>
    </row>
    <row r="4" spans="1:25" x14ac:dyDescent="0.3">
      <c r="A4" s="18">
        <f t="shared" ref="A4:A29" si="11">A3+1</f>
        <v>2021</v>
      </c>
      <c r="B4" s="5">
        <v>2</v>
      </c>
      <c r="C4" s="148"/>
      <c r="D4" s="148"/>
      <c r="E4" s="7">
        <f t="shared" si="1"/>
        <v>0</v>
      </c>
      <c r="F4" s="6">
        <f>'Monitized Values'!D34</f>
        <v>15900</v>
      </c>
      <c r="G4" s="6">
        <f t="shared" si="2"/>
        <v>0</v>
      </c>
      <c r="H4" s="149"/>
      <c r="I4" s="149"/>
      <c r="J4" s="7">
        <f t="shared" si="3"/>
        <v>0</v>
      </c>
      <c r="K4" s="6">
        <f>'Monitized Values'!F34</f>
        <v>742300</v>
      </c>
      <c r="L4" s="6">
        <f t="shared" si="4"/>
        <v>0</v>
      </c>
      <c r="M4" s="79"/>
      <c r="N4" s="79"/>
      <c r="O4" s="62">
        <f t="shared" si="5"/>
        <v>0</v>
      </c>
      <c r="P4" s="63">
        <f>'Monitized Values'!E34</f>
        <v>41300</v>
      </c>
      <c r="Q4" s="64">
        <f t="shared" si="6"/>
        <v>0</v>
      </c>
      <c r="R4" s="138"/>
      <c r="S4" s="138"/>
      <c r="T4" s="138">
        <f t="shared" si="7"/>
        <v>0</v>
      </c>
      <c r="U4" s="64">
        <f>'Monitized Values'!G34</f>
        <v>52</v>
      </c>
      <c r="V4" s="64">
        <f t="shared" si="8"/>
        <v>0</v>
      </c>
      <c r="W4" s="64">
        <f t="shared" si="9"/>
        <v>0</v>
      </c>
      <c r="X4" s="65">
        <f t="shared" si="10"/>
        <v>0</v>
      </c>
      <c r="Y4" s="65">
        <f t="shared" si="0"/>
        <v>0</v>
      </c>
    </row>
    <row r="5" spans="1:25" x14ac:dyDescent="0.3">
      <c r="A5" s="18">
        <f t="shared" si="11"/>
        <v>2022</v>
      </c>
      <c r="B5" s="5">
        <v>3</v>
      </c>
      <c r="C5" s="148"/>
      <c r="D5" s="148"/>
      <c r="E5" s="7">
        <f t="shared" si="1"/>
        <v>0</v>
      </c>
      <c r="F5" s="6">
        <f>'Monitized Values'!D35</f>
        <v>16100</v>
      </c>
      <c r="G5" s="6">
        <f t="shared" si="2"/>
        <v>0</v>
      </c>
      <c r="H5" s="149"/>
      <c r="I5" s="149"/>
      <c r="J5" s="7">
        <f t="shared" si="3"/>
        <v>0</v>
      </c>
      <c r="K5" s="6">
        <f>'Monitized Values'!F35</f>
        <v>755500</v>
      </c>
      <c r="L5" s="6">
        <f t="shared" si="4"/>
        <v>0</v>
      </c>
      <c r="M5" s="79"/>
      <c r="N5" s="79"/>
      <c r="O5" s="62">
        <f t="shared" si="5"/>
        <v>0</v>
      </c>
      <c r="P5" s="63">
        <f>'Monitized Values'!E35</f>
        <v>42100</v>
      </c>
      <c r="Q5" s="64">
        <f t="shared" si="6"/>
        <v>0</v>
      </c>
      <c r="R5" s="138"/>
      <c r="S5" s="138"/>
      <c r="T5" s="138">
        <f t="shared" si="7"/>
        <v>0</v>
      </c>
      <c r="U5" s="64">
        <f>'Monitized Values'!G35</f>
        <v>53</v>
      </c>
      <c r="V5" s="64">
        <f t="shared" si="8"/>
        <v>0</v>
      </c>
      <c r="W5" s="64">
        <f t="shared" si="9"/>
        <v>0</v>
      </c>
      <c r="X5" s="65">
        <f t="shared" si="10"/>
        <v>0</v>
      </c>
      <c r="Y5" s="65">
        <f t="shared" si="0"/>
        <v>0</v>
      </c>
    </row>
    <row r="6" spans="1:25" x14ac:dyDescent="0.3">
      <c r="A6" s="18">
        <f t="shared" si="11"/>
        <v>2023</v>
      </c>
      <c r="B6" s="5">
        <v>4</v>
      </c>
      <c r="C6" s="148"/>
      <c r="D6" s="148"/>
      <c r="E6" s="7">
        <f t="shared" si="1"/>
        <v>0</v>
      </c>
      <c r="F6" s="6">
        <f>'Monitized Values'!D36</f>
        <v>16400</v>
      </c>
      <c r="G6" s="6">
        <f t="shared" si="2"/>
        <v>0</v>
      </c>
      <c r="H6" s="149"/>
      <c r="I6" s="149"/>
      <c r="J6" s="7">
        <f t="shared" si="3"/>
        <v>0</v>
      </c>
      <c r="K6" s="6">
        <f>'Monitized Values'!F36</f>
        <v>769000</v>
      </c>
      <c r="L6" s="6">
        <f t="shared" si="4"/>
        <v>0</v>
      </c>
      <c r="M6" s="79"/>
      <c r="N6" s="79"/>
      <c r="O6" s="62">
        <f t="shared" si="5"/>
        <v>0</v>
      </c>
      <c r="P6" s="63">
        <f>'Monitized Values'!E36</f>
        <v>43000</v>
      </c>
      <c r="Q6" s="64">
        <f t="shared" si="6"/>
        <v>0</v>
      </c>
      <c r="R6" s="138"/>
      <c r="S6" s="138"/>
      <c r="T6" s="138">
        <f t="shared" si="7"/>
        <v>0</v>
      </c>
      <c r="U6" s="64">
        <f>'Monitized Values'!G36</f>
        <v>54</v>
      </c>
      <c r="V6" s="64">
        <f t="shared" si="8"/>
        <v>0</v>
      </c>
      <c r="W6" s="64">
        <f t="shared" si="9"/>
        <v>0</v>
      </c>
      <c r="X6" s="65">
        <f t="shared" si="10"/>
        <v>0</v>
      </c>
      <c r="Y6" s="65">
        <f t="shared" si="0"/>
        <v>0</v>
      </c>
    </row>
    <row r="7" spans="1:25" x14ac:dyDescent="0.3">
      <c r="A7" s="18">
        <f t="shared" si="11"/>
        <v>2024</v>
      </c>
      <c r="B7" s="5">
        <v>5</v>
      </c>
      <c r="C7" s="148"/>
      <c r="D7" s="148"/>
      <c r="E7" s="7">
        <f t="shared" si="1"/>
        <v>0</v>
      </c>
      <c r="F7" s="6">
        <f>'Monitized Values'!D37</f>
        <v>16600</v>
      </c>
      <c r="G7" s="6">
        <f t="shared" si="2"/>
        <v>0</v>
      </c>
      <c r="H7" s="149"/>
      <c r="I7" s="149"/>
      <c r="J7" s="7">
        <f t="shared" si="3"/>
        <v>0</v>
      </c>
      <c r="K7" s="6">
        <f>'Monitized Values'!F37</f>
        <v>782700</v>
      </c>
      <c r="L7" s="6">
        <f t="shared" si="4"/>
        <v>0</v>
      </c>
      <c r="M7" s="79"/>
      <c r="N7" s="79"/>
      <c r="O7" s="62">
        <f t="shared" si="5"/>
        <v>0</v>
      </c>
      <c r="P7" s="63">
        <f>'Monitized Values'!E37</f>
        <v>43900</v>
      </c>
      <c r="Q7" s="64">
        <f t="shared" si="6"/>
        <v>0</v>
      </c>
      <c r="R7" s="138"/>
      <c r="S7" s="138"/>
      <c r="T7" s="138">
        <f t="shared" si="7"/>
        <v>0</v>
      </c>
      <c r="U7" s="64">
        <f>'Monitized Values'!G37</f>
        <v>55</v>
      </c>
      <c r="V7" s="64">
        <f t="shared" si="8"/>
        <v>0</v>
      </c>
      <c r="W7" s="64">
        <f t="shared" si="9"/>
        <v>0</v>
      </c>
      <c r="X7" s="65">
        <f t="shared" si="10"/>
        <v>0</v>
      </c>
      <c r="Y7" s="65">
        <f t="shared" si="0"/>
        <v>0</v>
      </c>
    </row>
    <row r="8" spans="1:25" x14ac:dyDescent="0.3">
      <c r="A8" s="18">
        <f t="shared" si="11"/>
        <v>2025</v>
      </c>
      <c r="B8" s="5">
        <v>6</v>
      </c>
      <c r="C8" s="148"/>
      <c r="D8" s="148"/>
      <c r="E8" s="7">
        <f t="shared" si="1"/>
        <v>0</v>
      </c>
      <c r="F8" s="6">
        <f>'Monitized Values'!D38</f>
        <v>16800</v>
      </c>
      <c r="G8" s="6">
        <f t="shared" si="2"/>
        <v>0</v>
      </c>
      <c r="H8" s="149"/>
      <c r="I8" s="149"/>
      <c r="J8" s="7">
        <f t="shared" si="3"/>
        <v>0</v>
      </c>
      <c r="K8" s="6">
        <f>'Monitized Values'!F38</f>
        <v>796600</v>
      </c>
      <c r="L8" s="6">
        <f t="shared" si="4"/>
        <v>0</v>
      </c>
      <c r="M8" s="79"/>
      <c r="N8" s="79"/>
      <c r="O8" s="62">
        <f t="shared" si="5"/>
        <v>0</v>
      </c>
      <c r="P8" s="63">
        <f>'Monitized Values'!E38</f>
        <v>44900</v>
      </c>
      <c r="Q8" s="64">
        <f t="shared" si="6"/>
        <v>0</v>
      </c>
      <c r="R8" s="138"/>
      <c r="S8" s="138"/>
      <c r="T8" s="138">
        <f t="shared" si="7"/>
        <v>0</v>
      </c>
      <c r="U8" s="64">
        <f>'Monitized Values'!G38</f>
        <v>56</v>
      </c>
      <c r="V8" s="64">
        <f t="shared" si="8"/>
        <v>0</v>
      </c>
      <c r="W8" s="64">
        <f t="shared" si="9"/>
        <v>0</v>
      </c>
      <c r="X8" s="65">
        <f t="shared" si="10"/>
        <v>0</v>
      </c>
      <c r="Y8" s="65">
        <f t="shared" si="0"/>
        <v>0</v>
      </c>
    </row>
    <row r="9" spans="1:25" x14ac:dyDescent="0.3">
      <c r="A9" s="18">
        <f t="shared" si="11"/>
        <v>2026</v>
      </c>
      <c r="B9" s="5">
        <v>7</v>
      </c>
      <c r="C9" s="148">
        <v>28452.326699999998</v>
      </c>
      <c r="D9" s="148">
        <v>28450.056400000001</v>
      </c>
      <c r="E9" s="7">
        <f t="shared" si="1"/>
        <v>2.5007354499961401</v>
      </c>
      <c r="F9" s="6">
        <f>'Monitized Values'!D39</f>
        <v>17000</v>
      </c>
      <c r="G9" s="6">
        <f t="shared" si="2"/>
        <v>42512.50264993438</v>
      </c>
      <c r="H9" s="149">
        <v>1534.8177000000001</v>
      </c>
      <c r="I9" s="149">
        <v>1534.4234999999999</v>
      </c>
      <c r="J9" s="7">
        <f t="shared" si="3"/>
        <v>0.43421130000020114</v>
      </c>
      <c r="K9" s="6">
        <f>'Monitized Values'!F39</f>
        <v>807500</v>
      </c>
      <c r="L9" s="6">
        <f t="shared" si="4"/>
        <v>350625.62475016242</v>
      </c>
      <c r="M9" s="79">
        <v>507.65660000000003</v>
      </c>
      <c r="N9" s="79">
        <v>507.61279999999999</v>
      </c>
      <c r="O9" s="62">
        <f t="shared" si="5"/>
        <v>4.8245700000036265E-2</v>
      </c>
      <c r="P9" s="63">
        <f>'Monitized Values'!E39</f>
        <v>45500</v>
      </c>
      <c r="Q9" s="64">
        <f t="shared" si="6"/>
        <v>2195.1793500016502</v>
      </c>
      <c r="R9" s="138">
        <v>36852684.12520048</v>
      </c>
      <c r="S9" s="138">
        <v>36846997.349823907</v>
      </c>
      <c r="T9" s="138">
        <f t="shared" si="7"/>
        <v>6263.9830772953846</v>
      </c>
      <c r="U9" s="64">
        <f>'Monitized Values'!G39</f>
        <v>57</v>
      </c>
      <c r="V9" s="64">
        <f t="shared" si="8"/>
        <v>357047.03540583694</v>
      </c>
      <c r="W9" s="64">
        <f t="shared" si="9"/>
        <v>290311.9136387959</v>
      </c>
      <c r="X9" s="65">
        <f t="shared" si="10"/>
        <v>395333.30675009848</v>
      </c>
      <c r="Y9" s="65">
        <f t="shared" si="0"/>
        <v>246193.71473700571</v>
      </c>
    </row>
    <row r="10" spans="1:25" x14ac:dyDescent="0.3">
      <c r="A10" s="18">
        <f t="shared" si="11"/>
        <v>2027</v>
      </c>
      <c r="B10" s="5">
        <v>8</v>
      </c>
      <c r="C10" s="148">
        <v>25752.387024999996</v>
      </c>
      <c r="D10" s="148">
        <v>25750.310174999999</v>
      </c>
      <c r="E10" s="7">
        <f t="shared" si="1"/>
        <v>2.2876502749974095</v>
      </c>
      <c r="F10" s="6">
        <f>'Monitized Values'!D40</f>
        <v>17300</v>
      </c>
      <c r="G10" s="6">
        <f t="shared" si="2"/>
        <v>39576.349757455188</v>
      </c>
      <c r="H10" s="149">
        <v>1386.556525</v>
      </c>
      <c r="I10" s="149">
        <v>1386.2061249999997</v>
      </c>
      <c r="J10" s="7">
        <f t="shared" si="3"/>
        <v>0.38596560000029012</v>
      </c>
      <c r="K10" s="6">
        <f>'Monitized Values'!F40</f>
        <v>818600</v>
      </c>
      <c r="L10" s="6">
        <f t="shared" si="4"/>
        <v>315951.44016023749</v>
      </c>
      <c r="M10" s="79">
        <v>480.01332500000007</v>
      </c>
      <c r="N10" s="79">
        <v>479.97135000000003</v>
      </c>
      <c r="O10" s="62">
        <f t="shared" si="5"/>
        <v>4.6235462500039966E-2</v>
      </c>
      <c r="P10" s="63">
        <f>'Monitized Values'!E40</f>
        <v>46200</v>
      </c>
      <c r="Q10" s="64">
        <f t="shared" si="6"/>
        <v>2136.0783675018465</v>
      </c>
      <c r="R10" s="138">
        <v>37254534.300434858</v>
      </c>
      <c r="S10" s="138">
        <v>37248870.991087817</v>
      </c>
      <c r="T10" s="138">
        <f t="shared" si="7"/>
        <v>6238.1352457656076</v>
      </c>
      <c r="U10" s="64">
        <f>'Monitized Values'!G40</f>
        <v>58</v>
      </c>
      <c r="V10" s="64">
        <f t="shared" si="8"/>
        <v>361811.84425440524</v>
      </c>
      <c r="W10" s="64">
        <f t="shared" si="9"/>
        <v>285617.61093858304</v>
      </c>
      <c r="X10" s="65">
        <f t="shared" si="10"/>
        <v>357663.86828519451</v>
      </c>
      <c r="Y10" s="65">
        <f t="shared" si="0"/>
        <v>208163.62771593389</v>
      </c>
    </row>
    <row r="11" spans="1:25" x14ac:dyDescent="0.3">
      <c r="A11" s="18">
        <f t="shared" si="11"/>
        <v>2028</v>
      </c>
      <c r="B11" s="5">
        <v>9</v>
      </c>
      <c r="C11" s="148">
        <v>23052.447349999995</v>
      </c>
      <c r="D11" s="148">
        <v>23050.563949999996</v>
      </c>
      <c r="E11" s="7">
        <f t="shared" si="1"/>
        <v>2.0745650999986789</v>
      </c>
      <c r="F11" s="6">
        <f>'Monitized Values'!D41</f>
        <v>17500</v>
      </c>
      <c r="G11" s="6">
        <f t="shared" si="2"/>
        <v>36304.889249976877</v>
      </c>
      <c r="H11" s="149">
        <v>1238.2953500000003</v>
      </c>
      <c r="I11" s="149">
        <v>1237.98875</v>
      </c>
      <c r="J11" s="7">
        <f t="shared" si="3"/>
        <v>0.33771990000037905</v>
      </c>
      <c r="K11" s="6">
        <f>'Monitized Values'!F41</f>
        <v>829800</v>
      </c>
      <c r="L11" s="6">
        <f t="shared" si="4"/>
        <v>280239.97302031453</v>
      </c>
      <c r="M11" s="79">
        <v>452.37005000000005</v>
      </c>
      <c r="N11" s="79">
        <v>452.32990000000007</v>
      </c>
      <c r="O11" s="62">
        <f t="shared" si="5"/>
        <v>4.4225224999981064E-2</v>
      </c>
      <c r="P11" s="63">
        <f>'Monitized Values'!E41</f>
        <v>46900</v>
      </c>
      <c r="Q11" s="64">
        <f t="shared" si="6"/>
        <v>2074.1630524991119</v>
      </c>
      <c r="R11" s="138">
        <v>37656384.475669242</v>
      </c>
      <c r="S11" s="138">
        <v>37650744.632351726</v>
      </c>
      <c r="T11" s="138">
        <f t="shared" si="7"/>
        <v>6212.2874142440369</v>
      </c>
      <c r="U11" s="64">
        <f>'Monitized Values'!G41</f>
        <v>59</v>
      </c>
      <c r="V11" s="64">
        <f t="shared" si="8"/>
        <v>366524.95744039817</v>
      </c>
      <c r="W11" s="64">
        <f t="shared" si="9"/>
        <v>280910.86020385689</v>
      </c>
      <c r="X11" s="65">
        <f t="shared" si="10"/>
        <v>318619.02532279055</v>
      </c>
      <c r="Y11" s="65">
        <f t="shared" si="0"/>
        <v>173307.63890233889</v>
      </c>
    </row>
    <row r="12" spans="1:25" x14ac:dyDescent="0.3">
      <c r="A12" s="18">
        <f t="shared" si="11"/>
        <v>2029</v>
      </c>
      <c r="B12" s="5">
        <v>10</v>
      </c>
      <c r="C12" s="148">
        <v>20352.507675000001</v>
      </c>
      <c r="D12" s="148">
        <v>20350.817725000001</v>
      </c>
      <c r="E12" s="7">
        <f t="shared" si="1"/>
        <v>1.8614799249999485</v>
      </c>
      <c r="F12" s="6">
        <f>'Monitized Values'!D42</f>
        <v>17700</v>
      </c>
      <c r="G12" s="6">
        <f t="shared" si="2"/>
        <v>32948.194672499092</v>
      </c>
      <c r="H12" s="149">
        <v>1090.0341750000002</v>
      </c>
      <c r="I12" s="149">
        <v>1089.7713750000003</v>
      </c>
      <c r="J12" s="7">
        <f t="shared" si="3"/>
        <v>0.2894741999999671</v>
      </c>
      <c r="K12" s="6">
        <f>'Monitized Values'!F42</f>
        <v>841200</v>
      </c>
      <c r="L12" s="6">
        <f t="shared" si="4"/>
        <v>243505.69703997232</v>
      </c>
      <c r="M12" s="79">
        <v>424.72677500000009</v>
      </c>
      <c r="N12" s="79">
        <v>424.6884500000001</v>
      </c>
      <c r="O12" s="62">
        <f t="shared" si="5"/>
        <v>4.2214987499984771E-2</v>
      </c>
      <c r="P12" s="63">
        <f>'Monitized Values'!E42</f>
        <v>47600</v>
      </c>
      <c r="Q12" s="64">
        <f t="shared" si="6"/>
        <v>2009.4334049992751</v>
      </c>
      <c r="R12" s="138">
        <v>38058234.65090362</v>
      </c>
      <c r="S12" s="138">
        <v>38052618.273615636</v>
      </c>
      <c r="T12" s="138">
        <f t="shared" si="7"/>
        <v>6186.4395827142589</v>
      </c>
      <c r="U12" s="64">
        <f>'Monitized Values'!G42</f>
        <v>60</v>
      </c>
      <c r="V12" s="64">
        <f t="shared" si="8"/>
        <v>371186.37496285554</v>
      </c>
      <c r="W12" s="64">
        <f t="shared" si="9"/>
        <v>276197.52290243498</v>
      </c>
      <c r="X12" s="65">
        <f t="shared" si="10"/>
        <v>278463.3251174707</v>
      </c>
      <c r="Y12" s="65">
        <f t="shared" si="0"/>
        <v>141556.63420894602</v>
      </c>
    </row>
    <row r="13" spans="1:25" x14ac:dyDescent="0.3">
      <c r="A13" s="18">
        <f t="shared" si="11"/>
        <v>2030</v>
      </c>
      <c r="B13" s="5">
        <v>11</v>
      </c>
      <c r="C13" s="148">
        <v>17652.567999999992</v>
      </c>
      <c r="D13" s="148">
        <v>17651.071499999998</v>
      </c>
      <c r="E13" s="7">
        <f t="shared" si="1"/>
        <v>1.6483947499932037</v>
      </c>
      <c r="F13" s="6">
        <f>'Monitized Values'!D43</f>
        <v>18000</v>
      </c>
      <c r="G13" s="6">
        <f t="shared" si="2"/>
        <v>29671.105499877667</v>
      </c>
      <c r="H13" s="149">
        <v>941.77300000000014</v>
      </c>
      <c r="I13" s="149">
        <v>941.55400000000009</v>
      </c>
      <c r="J13" s="7">
        <f t="shared" si="3"/>
        <v>0.24122850000005608</v>
      </c>
      <c r="K13" s="6">
        <f>'Monitized Values'!F43</f>
        <v>852700</v>
      </c>
      <c r="L13" s="6">
        <f t="shared" si="4"/>
        <v>205695.54195004783</v>
      </c>
      <c r="M13" s="79">
        <v>397.08350000000007</v>
      </c>
      <c r="N13" s="79">
        <v>397.04700000000003</v>
      </c>
      <c r="O13" s="62">
        <f t="shared" si="5"/>
        <v>4.0204750000051089E-2</v>
      </c>
      <c r="P13" s="63">
        <f>'Monitized Values'!E43</f>
        <v>48200</v>
      </c>
      <c r="Q13" s="64">
        <f t="shared" si="6"/>
        <v>1937.8689500024625</v>
      </c>
      <c r="R13" s="138">
        <v>38460084.826137997</v>
      </c>
      <c r="S13" s="138">
        <v>38454491.914879546</v>
      </c>
      <c r="T13" s="138">
        <f t="shared" si="7"/>
        <v>6160.5917511844818</v>
      </c>
      <c r="U13" s="64">
        <f>'Monitized Values'!G43</f>
        <v>61</v>
      </c>
      <c r="V13" s="64">
        <f t="shared" si="8"/>
        <v>375796.09682225337</v>
      </c>
      <c r="W13" s="64">
        <f t="shared" si="9"/>
        <v>271483.09600716433</v>
      </c>
      <c r="X13" s="65">
        <f t="shared" si="10"/>
        <v>237304.51639992796</v>
      </c>
      <c r="Y13" s="65">
        <f t="shared" si="0"/>
        <v>112741.6662918457</v>
      </c>
    </row>
    <row r="14" spans="1:25" x14ac:dyDescent="0.3">
      <c r="A14" s="18">
        <f t="shared" si="11"/>
        <v>2031</v>
      </c>
      <c r="B14" s="5">
        <v>12</v>
      </c>
      <c r="C14" s="148">
        <v>14952.628324999998</v>
      </c>
      <c r="D14" s="148">
        <v>14951.325275000003</v>
      </c>
      <c r="E14" s="7">
        <f t="shared" si="1"/>
        <v>1.4353095749944731</v>
      </c>
      <c r="F14" s="6">
        <f>'Monitized Values'!D44</f>
        <v>18000</v>
      </c>
      <c r="G14" s="6">
        <f t="shared" si="2"/>
        <v>25835.572349900514</v>
      </c>
      <c r="H14" s="149">
        <v>793.51182500000004</v>
      </c>
      <c r="I14" s="149">
        <v>793.33662499999991</v>
      </c>
      <c r="J14" s="7">
        <f t="shared" si="3"/>
        <v>0.19298280000014506</v>
      </c>
      <c r="K14" s="6">
        <f>'Monitized Values'!F44</f>
        <v>852700</v>
      </c>
      <c r="L14" s="6">
        <f t="shared" si="4"/>
        <v>164556.4335601237</v>
      </c>
      <c r="M14" s="149">
        <v>369.44022500000005</v>
      </c>
      <c r="N14" s="149">
        <v>369.40554999999995</v>
      </c>
      <c r="O14" s="62">
        <f t="shared" si="5"/>
        <v>3.8194512500117413E-2</v>
      </c>
      <c r="P14" s="63">
        <f>'Monitized Values'!E44</f>
        <v>48200</v>
      </c>
      <c r="Q14" s="64">
        <f t="shared" si="6"/>
        <v>1840.9755025056593</v>
      </c>
      <c r="R14" s="138">
        <v>38861935.001372375</v>
      </c>
      <c r="S14" s="138">
        <v>38856365.556143455</v>
      </c>
      <c r="T14" s="138">
        <f t="shared" si="7"/>
        <v>6134.7439196547039</v>
      </c>
      <c r="U14" s="64">
        <f>'Monitized Values'!G44</f>
        <v>62</v>
      </c>
      <c r="V14" s="64">
        <f t="shared" si="8"/>
        <v>380354.12301859166</v>
      </c>
      <c r="W14" s="64">
        <f t="shared" si="9"/>
        <v>266772.7292336832</v>
      </c>
      <c r="X14" s="65">
        <f t="shared" si="10"/>
        <v>192232.98141252989</v>
      </c>
      <c r="Y14" s="65">
        <f t="shared" si="0"/>
        <v>85353.742707665238</v>
      </c>
    </row>
    <row r="15" spans="1:25" x14ac:dyDescent="0.3">
      <c r="A15" s="18">
        <f t="shared" si="11"/>
        <v>2032</v>
      </c>
      <c r="B15" s="5">
        <v>13</v>
      </c>
      <c r="C15" s="148">
        <v>12252.688650000004</v>
      </c>
      <c r="D15" s="148">
        <v>12251.57905</v>
      </c>
      <c r="E15" s="7">
        <f t="shared" si="1"/>
        <v>1.2222244000037572</v>
      </c>
      <c r="F15" s="6">
        <f>'Monitized Values'!D45</f>
        <v>18000</v>
      </c>
      <c r="G15" s="6">
        <f t="shared" si="2"/>
        <v>22000.039200067629</v>
      </c>
      <c r="H15" s="149">
        <v>645.25064999999995</v>
      </c>
      <c r="I15" s="149">
        <v>645.11925000000019</v>
      </c>
      <c r="J15" s="7">
        <f t="shared" si="3"/>
        <v>0.14473709999973311</v>
      </c>
      <c r="K15" s="6">
        <f>'Monitized Values'!F45</f>
        <v>852700</v>
      </c>
      <c r="L15" s="6">
        <f t="shared" si="4"/>
        <v>123417.32516977242</v>
      </c>
      <c r="M15" s="149">
        <v>341.79695000000004</v>
      </c>
      <c r="N15" s="149">
        <v>341.76409999999998</v>
      </c>
      <c r="O15" s="62">
        <f t="shared" si="5"/>
        <v>3.6184275000058504E-2</v>
      </c>
      <c r="P15" s="63">
        <f>'Monitized Values'!E45</f>
        <v>48200</v>
      </c>
      <c r="Q15" s="64">
        <f t="shared" si="6"/>
        <v>1744.08205500282</v>
      </c>
      <c r="R15" s="138">
        <v>39263785.176606759</v>
      </c>
      <c r="S15" s="138">
        <v>39258239.197407365</v>
      </c>
      <c r="T15" s="138">
        <f t="shared" si="7"/>
        <v>6108.8960881331332</v>
      </c>
      <c r="U15" s="64">
        <f>'Monitized Values'!G45</f>
        <v>63</v>
      </c>
      <c r="V15" s="64">
        <f t="shared" si="8"/>
        <v>384860.45355238736</v>
      </c>
      <c r="W15" s="64">
        <f t="shared" si="9"/>
        <v>262071.24155688038</v>
      </c>
      <c r="X15" s="65">
        <f t="shared" si="10"/>
        <v>147161.44642484287</v>
      </c>
      <c r="Y15" s="65">
        <f t="shared" si="0"/>
        <v>61066.768366163531</v>
      </c>
    </row>
    <row r="16" spans="1:25" x14ac:dyDescent="0.3">
      <c r="A16" s="18">
        <f t="shared" si="11"/>
        <v>2033</v>
      </c>
      <c r="B16" s="5">
        <v>14</v>
      </c>
      <c r="C16" s="148">
        <v>9552.748974999995</v>
      </c>
      <c r="D16" s="148">
        <v>9551.8328249999904</v>
      </c>
      <c r="E16" s="7">
        <f t="shared" si="1"/>
        <v>1.0091392250050266</v>
      </c>
      <c r="F16" s="6">
        <f>'Monitized Values'!D46</f>
        <v>18000</v>
      </c>
      <c r="G16" s="6">
        <f t="shared" si="2"/>
        <v>18164.50605009048</v>
      </c>
      <c r="H16" s="149">
        <v>496.98947499999986</v>
      </c>
      <c r="I16" s="149">
        <v>496.90187500000047</v>
      </c>
      <c r="J16" s="7">
        <f t="shared" si="3"/>
        <v>9.6491399999321173E-2</v>
      </c>
      <c r="K16" s="6">
        <f>'Monitized Values'!F46</f>
        <v>852700</v>
      </c>
      <c r="L16" s="6">
        <f t="shared" si="4"/>
        <v>82278.216779421171</v>
      </c>
      <c r="M16" s="149">
        <v>314.15367500000013</v>
      </c>
      <c r="N16" s="149">
        <v>314.12265000000002</v>
      </c>
      <c r="O16" s="62">
        <f t="shared" si="5"/>
        <v>3.4174037500124821E-2</v>
      </c>
      <c r="P16" s="63">
        <f>'Monitized Values'!E46</f>
        <v>48200</v>
      </c>
      <c r="Q16" s="64">
        <f t="shared" si="6"/>
        <v>1647.1886075060163</v>
      </c>
      <c r="R16" s="138">
        <v>39665635.351841137</v>
      </c>
      <c r="S16" s="138">
        <v>39660112.838671274</v>
      </c>
      <c r="T16" s="138">
        <f t="shared" si="7"/>
        <v>6083.0482566033561</v>
      </c>
      <c r="U16" s="64">
        <f>'Monitized Values'!G46</f>
        <v>64</v>
      </c>
      <c r="V16" s="64">
        <f t="shared" si="8"/>
        <v>389315.08842261479</v>
      </c>
      <c r="W16" s="64">
        <f t="shared" si="9"/>
        <v>257383.13703004082</v>
      </c>
      <c r="X16" s="65">
        <f t="shared" si="10"/>
        <v>102089.91143701767</v>
      </c>
      <c r="Y16" s="65">
        <f t="shared" si="0"/>
        <v>39592.227789207238</v>
      </c>
    </row>
    <row r="17" spans="1:26" x14ac:dyDescent="0.3">
      <c r="A17" s="18">
        <f t="shared" si="11"/>
        <v>2034</v>
      </c>
      <c r="B17" s="5">
        <v>15</v>
      </c>
      <c r="C17" s="148">
        <v>6852.8093000000008</v>
      </c>
      <c r="D17" s="148">
        <v>6852.0865999999951</v>
      </c>
      <c r="E17" s="7">
        <f t="shared" si="1"/>
        <v>0.79605405000629614</v>
      </c>
      <c r="F17" s="6">
        <f>'Monitized Values'!D47</f>
        <v>18000</v>
      </c>
      <c r="G17" s="6">
        <f t="shared" si="2"/>
        <v>14328.972900113331</v>
      </c>
      <c r="H17" s="149">
        <v>348.72830000000022</v>
      </c>
      <c r="I17" s="149">
        <v>348.6845000000003</v>
      </c>
      <c r="J17" s="7">
        <f t="shared" si="3"/>
        <v>4.8245699999911039E-2</v>
      </c>
      <c r="K17" s="6">
        <f>'Monitized Values'!F47</f>
        <v>852700</v>
      </c>
      <c r="L17" s="6">
        <f t="shared" si="4"/>
        <v>41139.108389924142</v>
      </c>
      <c r="M17" s="149">
        <v>286.51040000000012</v>
      </c>
      <c r="N17" s="149">
        <v>286.48120000000006</v>
      </c>
      <c r="O17" s="62">
        <f t="shared" si="5"/>
        <v>3.2163800000065919E-2</v>
      </c>
      <c r="P17" s="63">
        <f>'Monitized Values'!E47</f>
        <v>48200</v>
      </c>
      <c r="Q17" s="64">
        <f t="shared" si="6"/>
        <v>1550.2951600031772</v>
      </c>
      <c r="R17" s="138">
        <v>40067485.527075514</v>
      </c>
      <c r="S17" s="138">
        <v>40061986.479935184</v>
      </c>
      <c r="T17" s="138">
        <f t="shared" si="7"/>
        <v>6057.2004250735781</v>
      </c>
      <c r="U17" s="64">
        <f>'Monitized Values'!G47</f>
        <v>66</v>
      </c>
      <c r="V17" s="64">
        <f t="shared" si="8"/>
        <v>399775.22805485618</v>
      </c>
      <c r="W17" s="64">
        <f t="shared" si="9"/>
        <v>256600.50640025691</v>
      </c>
      <c r="X17" s="65">
        <f t="shared" si="10"/>
        <v>57018.376450040647</v>
      </c>
      <c r="Y17" s="65">
        <f t="shared" si="0"/>
        <v>20666.08359078689</v>
      </c>
    </row>
    <row r="18" spans="1:26" x14ac:dyDescent="0.3">
      <c r="A18" s="18">
        <f t="shared" si="11"/>
        <v>2035</v>
      </c>
      <c r="B18" s="5">
        <v>16</v>
      </c>
      <c r="C18" s="148">
        <v>4152.8696250000066</v>
      </c>
      <c r="D18" s="148">
        <v>4152.3403749999998</v>
      </c>
      <c r="E18" s="7">
        <f t="shared" si="1"/>
        <v>0.58296887500756567</v>
      </c>
      <c r="F18" s="6">
        <f>'Monitized Values'!D48</f>
        <v>18000</v>
      </c>
      <c r="G18" s="6">
        <f t="shared" si="2"/>
        <v>10493.439750136182</v>
      </c>
      <c r="H18" s="149">
        <v>200.46712500000058</v>
      </c>
      <c r="I18" s="149">
        <v>200.46712500000012</v>
      </c>
      <c r="J18" s="7">
        <f t="shared" si="3"/>
        <v>5.0090420700144019E-13</v>
      </c>
      <c r="K18" s="6">
        <f>'Monitized Values'!F48</f>
        <v>852700</v>
      </c>
      <c r="L18" s="6">
        <f t="shared" si="4"/>
        <v>4.2712101731012805E-7</v>
      </c>
      <c r="M18" s="149">
        <v>258.8671250000001</v>
      </c>
      <c r="N18" s="149">
        <v>258.83975000000009</v>
      </c>
      <c r="O18" s="62">
        <f t="shared" si="5"/>
        <v>3.015356250000701E-2</v>
      </c>
      <c r="P18" s="63">
        <f>'Monitized Values'!E48</f>
        <v>48200</v>
      </c>
      <c r="Q18" s="64">
        <f t="shared" si="6"/>
        <v>1453.4017125003379</v>
      </c>
      <c r="R18" s="138">
        <v>40469335.702309892</v>
      </c>
      <c r="S18" s="138">
        <v>40463860.121199094</v>
      </c>
      <c r="T18" s="138">
        <f t="shared" si="7"/>
        <v>6031.352593543801</v>
      </c>
      <c r="U18" s="64">
        <f>'Monitized Values'!G48</f>
        <v>67</v>
      </c>
      <c r="V18" s="64">
        <f t="shared" si="8"/>
        <v>404100.62376743468</v>
      </c>
      <c r="W18" s="64">
        <f t="shared" si="9"/>
        <v>251822.14885009127</v>
      </c>
      <c r="X18" s="65">
        <f t="shared" si="10"/>
        <v>11946.84146306364</v>
      </c>
      <c r="Y18" s="65">
        <f t="shared" si="0"/>
        <v>4046.8085379305808</v>
      </c>
    </row>
    <row r="19" spans="1:26" x14ac:dyDescent="0.3">
      <c r="A19" s="18">
        <f t="shared" si="11"/>
        <v>2036</v>
      </c>
      <c r="B19" s="5">
        <v>17</v>
      </c>
      <c r="C19" s="148">
        <v>4152.8696250000066</v>
      </c>
      <c r="D19" s="148">
        <v>4152.3403749999998</v>
      </c>
      <c r="E19" s="7">
        <f t="shared" si="1"/>
        <v>0.58296887500756567</v>
      </c>
      <c r="F19" s="6">
        <f>'Monitized Values'!D49</f>
        <v>18000</v>
      </c>
      <c r="G19" s="6">
        <f t="shared" si="2"/>
        <v>10493.439750136182</v>
      </c>
      <c r="H19" s="149">
        <v>200.46712500000058</v>
      </c>
      <c r="I19" s="149">
        <v>200.46712500000012</v>
      </c>
      <c r="J19" s="7">
        <f t="shared" si="3"/>
        <v>5.0090420700144019E-13</v>
      </c>
      <c r="K19" s="6">
        <f>'Monitized Values'!F49</f>
        <v>852700</v>
      </c>
      <c r="L19" s="6">
        <f t="shared" si="4"/>
        <v>4.2712101731012805E-7</v>
      </c>
      <c r="M19" s="149">
        <v>258.8671250000001</v>
      </c>
      <c r="N19" s="149">
        <v>258.83975000000009</v>
      </c>
      <c r="O19" s="62">
        <f t="shared" si="5"/>
        <v>3.015356250000701E-2</v>
      </c>
      <c r="P19" s="63">
        <f>'Monitized Values'!E49</f>
        <v>48200</v>
      </c>
      <c r="Q19" s="64">
        <f t="shared" si="6"/>
        <v>1453.4017125003379</v>
      </c>
      <c r="R19" s="138">
        <v>40871185.877544269</v>
      </c>
      <c r="S19" s="138">
        <v>40865733.762463003</v>
      </c>
      <c r="T19" s="138">
        <f t="shared" si="7"/>
        <v>6005.504762014024</v>
      </c>
      <c r="U19" s="64">
        <f>'Monitized Values'!G49</f>
        <v>68</v>
      </c>
      <c r="V19" s="64">
        <f t="shared" si="8"/>
        <v>408374.32381695363</v>
      </c>
      <c r="W19" s="64">
        <f t="shared" si="9"/>
        <v>247073.181969995</v>
      </c>
      <c r="X19" s="65">
        <f t="shared" si="10"/>
        <v>11946.84146306364</v>
      </c>
      <c r="Y19" s="65">
        <f t="shared" si="0"/>
        <v>3782.0640541407297</v>
      </c>
    </row>
    <row r="20" spans="1:26" x14ac:dyDescent="0.3">
      <c r="A20" s="18">
        <f t="shared" si="11"/>
        <v>2037</v>
      </c>
      <c r="B20" s="5">
        <v>18</v>
      </c>
      <c r="C20" s="148">
        <v>4152.8696250000066</v>
      </c>
      <c r="D20" s="148">
        <v>4152.3403749999998</v>
      </c>
      <c r="E20" s="7">
        <f t="shared" si="1"/>
        <v>0.58296887500756567</v>
      </c>
      <c r="F20" s="6">
        <f>'Monitized Values'!D50</f>
        <v>18000</v>
      </c>
      <c r="G20" s="6">
        <f t="shared" si="2"/>
        <v>10493.439750136182</v>
      </c>
      <c r="H20" s="149">
        <v>200.46712500000058</v>
      </c>
      <c r="I20" s="149">
        <v>200.46712500000012</v>
      </c>
      <c r="J20" s="7">
        <f t="shared" si="3"/>
        <v>5.0090420700144019E-13</v>
      </c>
      <c r="K20" s="6">
        <f>'Monitized Values'!F50</f>
        <v>852700</v>
      </c>
      <c r="L20" s="6">
        <f t="shared" si="4"/>
        <v>4.2712101731012805E-7</v>
      </c>
      <c r="M20" s="149">
        <v>258.8671250000001</v>
      </c>
      <c r="N20" s="149">
        <v>258.83975000000009</v>
      </c>
      <c r="O20" s="62">
        <f t="shared" si="5"/>
        <v>3.015356250000701E-2</v>
      </c>
      <c r="P20" s="63">
        <f>'Monitized Values'!E50</f>
        <v>48200</v>
      </c>
      <c r="Q20" s="64">
        <f t="shared" si="6"/>
        <v>1453.4017125003379</v>
      </c>
      <c r="R20" s="138">
        <v>41273036.052778646</v>
      </c>
      <c r="S20" s="138">
        <v>41267607.403726913</v>
      </c>
      <c r="T20" s="138">
        <f t="shared" si="7"/>
        <v>5979.656930484246</v>
      </c>
      <c r="U20" s="64">
        <f>'Monitized Values'!G50</f>
        <v>69</v>
      </c>
      <c r="V20" s="64">
        <f t="shared" si="8"/>
        <v>412596.328203413</v>
      </c>
      <c r="W20" s="64">
        <f t="shared" si="9"/>
        <v>242356.85830896278</v>
      </c>
      <c r="X20" s="65">
        <f t="shared" si="10"/>
        <v>11946.84146306364</v>
      </c>
      <c r="Y20" s="65">
        <f t="shared" si="0"/>
        <v>3534.6393029352612</v>
      </c>
    </row>
    <row r="21" spans="1:26" x14ac:dyDescent="0.3">
      <c r="A21" s="18">
        <f t="shared" si="11"/>
        <v>2038</v>
      </c>
      <c r="B21" s="5">
        <v>19</v>
      </c>
      <c r="C21" s="148">
        <v>4152.8696250000066</v>
      </c>
      <c r="D21" s="148">
        <v>4152.3403749999998</v>
      </c>
      <c r="E21" s="7">
        <f t="shared" si="1"/>
        <v>0.58296887500756567</v>
      </c>
      <c r="F21" s="6">
        <f>'Monitized Values'!D51</f>
        <v>18000</v>
      </c>
      <c r="G21" s="6">
        <f t="shared" si="2"/>
        <v>10493.439750136182</v>
      </c>
      <c r="H21" s="149">
        <v>200.46712500000058</v>
      </c>
      <c r="I21" s="149">
        <v>200.46712500000012</v>
      </c>
      <c r="J21" s="7">
        <f t="shared" si="3"/>
        <v>5.0090420700144019E-13</v>
      </c>
      <c r="K21" s="6">
        <f>'Monitized Values'!F51</f>
        <v>852700</v>
      </c>
      <c r="L21" s="6">
        <f t="shared" si="4"/>
        <v>4.2712101731012805E-7</v>
      </c>
      <c r="M21" s="149">
        <v>258.8671250000001</v>
      </c>
      <c r="N21" s="149">
        <v>258.83975000000009</v>
      </c>
      <c r="O21" s="62">
        <f t="shared" si="5"/>
        <v>3.015356250000701E-2</v>
      </c>
      <c r="P21" s="63">
        <f>'Monitized Values'!E51</f>
        <v>48200</v>
      </c>
      <c r="Q21" s="64">
        <f t="shared" si="6"/>
        <v>1453.4017125003379</v>
      </c>
      <c r="R21" s="138">
        <v>41674886.228013024</v>
      </c>
      <c r="S21" s="138">
        <v>41669481.044990823</v>
      </c>
      <c r="T21" s="138">
        <f t="shared" si="7"/>
        <v>5953.8090989544689</v>
      </c>
      <c r="U21" s="64">
        <f>'Monitized Values'!G51</f>
        <v>70</v>
      </c>
      <c r="V21" s="64">
        <f t="shared" si="8"/>
        <v>416766.63692681282</v>
      </c>
      <c r="W21" s="64">
        <f t="shared" si="9"/>
        <v>237676.18948076019</v>
      </c>
      <c r="X21" s="65">
        <f t="shared" si="10"/>
        <v>11946.84146306364</v>
      </c>
      <c r="Y21" s="65">
        <f t="shared" si="0"/>
        <v>3303.4012176965057</v>
      </c>
    </row>
    <row r="22" spans="1:26" x14ac:dyDescent="0.3">
      <c r="A22" s="18">
        <f t="shared" si="11"/>
        <v>2039</v>
      </c>
      <c r="B22" s="5">
        <v>20</v>
      </c>
      <c r="C22" s="148">
        <v>4152.8696250000066</v>
      </c>
      <c r="D22" s="148">
        <v>4152.3403749999998</v>
      </c>
      <c r="E22" s="7">
        <f t="shared" si="1"/>
        <v>0.58296887500756567</v>
      </c>
      <c r="F22" s="6">
        <f>'Monitized Values'!D52</f>
        <v>18000</v>
      </c>
      <c r="G22" s="6">
        <f t="shared" si="2"/>
        <v>10493.439750136182</v>
      </c>
      <c r="H22" s="149">
        <v>200.46712500000058</v>
      </c>
      <c r="I22" s="149">
        <v>200.46712500000012</v>
      </c>
      <c r="J22" s="7">
        <f t="shared" si="3"/>
        <v>5.0090420700144019E-13</v>
      </c>
      <c r="K22" s="6">
        <f>'Monitized Values'!F52</f>
        <v>852700</v>
      </c>
      <c r="L22" s="6">
        <f t="shared" si="4"/>
        <v>4.2712101731012805E-7</v>
      </c>
      <c r="M22" s="149">
        <v>258.8671250000001</v>
      </c>
      <c r="N22" s="149">
        <v>258.83975000000009</v>
      </c>
      <c r="O22" s="62">
        <f t="shared" si="5"/>
        <v>3.015356250000701E-2</v>
      </c>
      <c r="P22" s="63">
        <f>'Monitized Values'!E52</f>
        <v>48200</v>
      </c>
      <c r="Q22" s="64">
        <f t="shared" si="6"/>
        <v>1453.4017125003379</v>
      </c>
      <c r="R22" s="138">
        <v>42076736.403247409</v>
      </c>
      <c r="S22" s="138">
        <v>42071354.686254732</v>
      </c>
      <c r="T22" s="138">
        <f t="shared" si="7"/>
        <v>5927.9612674328982</v>
      </c>
      <c r="U22" s="64">
        <f>'Monitized Values'!G52</f>
        <v>71</v>
      </c>
      <c r="V22" s="64">
        <f t="shared" si="8"/>
        <v>420885.24998773576</v>
      </c>
      <c r="W22" s="64">
        <f t="shared" si="9"/>
        <v>233033.95821286374</v>
      </c>
      <c r="X22" s="65">
        <f t="shared" si="10"/>
        <v>11946.84146306364</v>
      </c>
      <c r="Y22" s="65">
        <f t="shared" si="0"/>
        <v>3087.2908576602858</v>
      </c>
    </row>
    <row r="23" spans="1:26" x14ac:dyDescent="0.3">
      <c r="A23" s="18">
        <f t="shared" si="11"/>
        <v>2040</v>
      </c>
      <c r="B23" s="5">
        <v>21</v>
      </c>
      <c r="C23" s="148">
        <v>4152.8696250000066</v>
      </c>
      <c r="D23" s="148">
        <v>4152.3403749999998</v>
      </c>
      <c r="E23" s="7">
        <f t="shared" si="1"/>
        <v>0.58296887500756567</v>
      </c>
      <c r="F23" s="6">
        <f>'Monitized Values'!D53</f>
        <v>18000</v>
      </c>
      <c r="G23" s="6">
        <f t="shared" si="2"/>
        <v>10493.439750136182</v>
      </c>
      <c r="H23" s="149">
        <v>200.46712500000058</v>
      </c>
      <c r="I23" s="149">
        <v>200.46712500000012</v>
      </c>
      <c r="J23" s="7">
        <f t="shared" si="3"/>
        <v>5.0090420700144019E-13</v>
      </c>
      <c r="K23" s="6">
        <f>'Monitized Values'!F53</f>
        <v>852700</v>
      </c>
      <c r="L23" s="6">
        <f t="shared" si="4"/>
        <v>4.2712101731012805E-7</v>
      </c>
      <c r="M23" s="149">
        <v>258.8671250000001</v>
      </c>
      <c r="N23" s="149">
        <v>258.83975000000009</v>
      </c>
      <c r="O23" s="62">
        <f t="shared" si="5"/>
        <v>3.015356250000701E-2</v>
      </c>
      <c r="P23" s="63">
        <f>'Monitized Values'!E53</f>
        <v>48200</v>
      </c>
      <c r="Q23" s="64">
        <f t="shared" si="6"/>
        <v>1453.4017125003379</v>
      </c>
      <c r="R23" s="138">
        <v>42478586.578481786</v>
      </c>
      <c r="S23" s="138">
        <v>42473228.327518642</v>
      </c>
      <c r="T23" s="138">
        <f t="shared" si="7"/>
        <v>5902.1134359031203</v>
      </c>
      <c r="U23" s="64">
        <f>'Monitized Values'!G53</f>
        <v>72</v>
      </c>
      <c r="V23" s="64">
        <f t="shared" si="8"/>
        <v>424952.16738502466</v>
      </c>
      <c r="W23" s="64">
        <f t="shared" si="9"/>
        <v>228432.72987380699</v>
      </c>
      <c r="X23" s="65">
        <f t="shared" si="10"/>
        <v>11946.84146306364</v>
      </c>
      <c r="Y23" s="65">
        <f t="shared" si="0"/>
        <v>2885.3185585610149</v>
      </c>
    </row>
    <row r="24" spans="1:26" x14ac:dyDescent="0.3">
      <c r="A24" s="18">
        <f t="shared" si="11"/>
        <v>2041</v>
      </c>
      <c r="B24" s="5">
        <v>22</v>
      </c>
      <c r="C24" s="148">
        <v>4152.8696250000066</v>
      </c>
      <c r="D24" s="148">
        <v>4152.3403749999998</v>
      </c>
      <c r="E24" s="7">
        <f t="shared" si="1"/>
        <v>0.58296887500756567</v>
      </c>
      <c r="F24" s="6">
        <f>'Monitized Values'!D54</f>
        <v>18000</v>
      </c>
      <c r="G24" s="6">
        <f t="shared" ref="G24" si="12">E24*F24</f>
        <v>10493.439750136182</v>
      </c>
      <c r="H24" s="149">
        <v>200.46712500000058</v>
      </c>
      <c r="I24" s="149">
        <v>200.46712500000012</v>
      </c>
      <c r="J24" s="7">
        <f t="shared" si="3"/>
        <v>5.0090420700144019E-13</v>
      </c>
      <c r="K24" s="6">
        <f>'Monitized Values'!F54</f>
        <v>852700</v>
      </c>
      <c r="L24" s="6">
        <f t="shared" ref="L24:L26" si="13">J24*K24</f>
        <v>4.2712101731012805E-7</v>
      </c>
      <c r="M24" s="149">
        <v>258.8671250000001</v>
      </c>
      <c r="N24" s="149">
        <v>258.83975000000009</v>
      </c>
      <c r="O24" s="62">
        <f t="shared" si="5"/>
        <v>3.015356250000701E-2</v>
      </c>
      <c r="P24" s="63">
        <f>'Monitized Values'!E54</f>
        <v>48200</v>
      </c>
      <c r="Q24" s="64">
        <f t="shared" ref="Q24" si="14">O24*P24</f>
        <v>1453.4017125003379</v>
      </c>
      <c r="R24" s="138">
        <v>42880436.753716163</v>
      </c>
      <c r="S24" s="138">
        <v>42875101.968782552</v>
      </c>
      <c r="T24" s="138">
        <f t="shared" si="7"/>
        <v>5876.2656043733432</v>
      </c>
      <c r="U24" s="64">
        <f>'Monitized Values'!G54</f>
        <v>73</v>
      </c>
      <c r="V24" s="64">
        <f t="shared" si="8"/>
        <v>428967.38911925408</v>
      </c>
      <c r="W24" s="64">
        <f t="shared" si="9"/>
        <v>223874.8635045207</v>
      </c>
      <c r="X24" s="65">
        <f t="shared" si="10"/>
        <v>11946.84146306364</v>
      </c>
      <c r="Y24" s="65">
        <f t="shared" si="0"/>
        <v>2696.5594005243129</v>
      </c>
    </row>
    <row r="25" spans="1:26" x14ac:dyDescent="0.3">
      <c r="A25" s="18">
        <f t="shared" si="11"/>
        <v>2042</v>
      </c>
      <c r="B25" s="5">
        <v>23</v>
      </c>
      <c r="C25" s="148">
        <v>4152.8696250000066</v>
      </c>
      <c r="D25" s="148">
        <v>4152.3403749999998</v>
      </c>
      <c r="E25" s="7">
        <f t="shared" si="1"/>
        <v>0.58296887500756567</v>
      </c>
      <c r="F25" s="6">
        <f>'Monitized Values'!D55</f>
        <v>18000</v>
      </c>
      <c r="G25" s="6">
        <f t="shared" ref="G25:G26" si="15">E25*F25</f>
        <v>10493.439750136182</v>
      </c>
      <c r="H25" s="149">
        <v>200.46712500000058</v>
      </c>
      <c r="I25" s="149">
        <v>200.46712500000012</v>
      </c>
      <c r="J25" s="7">
        <f t="shared" si="3"/>
        <v>5.0090420700144019E-13</v>
      </c>
      <c r="K25" s="6">
        <f>'Monitized Values'!F55</f>
        <v>852700</v>
      </c>
      <c r="L25" s="6">
        <f t="shared" si="13"/>
        <v>4.2712101731012805E-7</v>
      </c>
      <c r="M25" s="149">
        <v>258.8671250000001</v>
      </c>
      <c r="N25" s="149">
        <v>258.83975000000009</v>
      </c>
      <c r="O25" s="62">
        <f t="shared" si="5"/>
        <v>3.015356250000701E-2</v>
      </c>
      <c r="P25" s="63">
        <f>'Monitized Values'!E55</f>
        <v>48200</v>
      </c>
      <c r="Q25" s="64">
        <f t="shared" ref="Q25:Q26" si="16">O25*P25</f>
        <v>1453.4017125003379</v>
      </c>
      <c r="R25" s="138">
        <v>43282286.928950548</v>
      </c>
      <c r="S25" s="138">
        <v>43276975.610046461</v>
      </c>
      <c r="T25" s="138">
        <f t="shared" si="7"/>
        <v>5850.4177728517725</v>
      </c>
      <c r="U25" s="64">
        <f>'Monitized Values'!G55</f>
        <v>75</v>
      </c>
      <c r="V25" s="64">
        <f t="shared" si="8"/>
        <v>438781.33296388295</v>
      </c>
      <c r="W25" s="64">
        <f t="shared" si="9"/>
        <v>222326.88077778186</v>
      </c>
      <c r="X25" s="65">
        <f t="shared" si="10"/>
        <v>11946.84146306364</v>
      </c>
      <c r="Y25" s="65">
        <f t="shared" si="0"/>
        <v>2520.1489724526286</v>
      </c>
    </row>
    <row r="26" spans="1:26" x14ac:dyDescent="0.3">
      <c r="A26" s="18">
        <f t="shared" si="11"/>
        <v>2043</v>
      </c>
      <c r="B26" s="5">
        <v>24</v>
      </c>
      <c r="C26" s="148">
        <v>4152.8696250000066</v>
      </c>
      <c r="D26" s="148">
        <v>4152.3403749999998</v>
      </c>
      <c r="E26" s="7">
        <f t="shared" si="1"/>
        <v>0.58296887500756567</v>
      </c>
      <c r="F26" s="6">
        <f>'Monitized Values'!D56</f>
        <v>18000</v>
      </c>
      <c r="G26" s="6">
        <f t="shared" si="15"/>
        <v>10493.439750136182</v>
      </c>
      <c r="H26" s="149">
        <v>200.46712500000058</v>
      </c>
      <c r="I26" s="149">
        <v>200.46712500000012</v>
      </c>
      <c r="J26" s="7">
        <f t="shared" si="3"/>
        <v>5.0090420700144019E-13</v>
      </c>
      <c r="K26" s="6">
        <f>'Monitized Values'!F56</f>
        <v>852700</v>
      </c>
      <c r="L26" s="6">
        <f t="shared" si="13"/>
        <v>4.2712101731012805E-7</v>
      </c>
      <c r="M26" s="149">
        <v>258.8671250000001</v>
      </c>
      <c r="N26" s="149">
        <v>258.83975000000009</v>
      </c>
      <c r="O26" s="62">
        <f t="shared" si="5"/>
        <v>3.015356250000701E-2</v>
      </c>
      <c r="P26" s="63">
        <f>'Monitized Values'!E56</f>
        <v>48200</v>
      </c>
      <c r="Q26" s="64">
        <f t="shared" si="16"/>
        <v>1453.4017125003379</v>
      </c>
      <c r="R26" s="138">
        <v>43684137.104184926</v>
      </c>
      <c r="S26" s="138">
        <v>43678849.251310371</v>
      </c>
      <c r="T26" s="138">
        <f t="shared" si="7"/>
        <v>5824.5699413219945</v>
      </c>
      <c r="U26" s="64">
        <f>'Monitized Values'!G56</f>
        <v>76</v>
      </c>
      <c r="V26" s="64">
        <f t="shared" si="8"/>
        <v>442667.31554047158</v>
      </c>
      <c r="W26" s="64">
        <f t="shared" si="9"/>
        <v>217762.98648920478</v>
      </c>
      <c r="X26" s="65">
        <f t="shared" si="10"/>
        <v>11946.84146306364</v>
      </c>
      <c r="Y26" s="65">
        <f t="shared" si="0"/>
        <v>2355.2794135071294</v>
      </c>
    </row>
    <row r="27" spans="1:26" x14ac:dyDescent="0.3">
      <c r="A27" s="18">
        <f t="shared" si="11"/>
        <v>2044</v>
      </c>
      <c r="B27" s="140">
        <v>25</v>
      </c>
      <c r="C27" s="148">
        <v>4152.8696250000066</v>
      </c>
      <c r="D27" s="148">
        <v>4152.3403749999998</v>
      </c>
      <c r="E27" s="7">
        <f t="shared" si="1"/>
        <v>0.58296887500756567</v>
      </c>
      <c r="F27" s="6">
        <f>'Monitized Values'!D57</f>
        <v>18000</v>
      </c>
      <c r="G27" s="6">
        <f t="shared" ref="G27" si="17">E27*F27</f>
        <v>10493.439750136182</v>
      </c>
      <c r="H27" s="149">
        <v>200.46712500000058</v>
      </c>
      <c r="I27" s="149">
        <v>200.46712500000012</v>
      </c>
      <c r="J27" s="7">
        <f t="shared" si="3"/>
        <v>5.0090420700144019E-13</v>
      </c>
      <c r="K27" s="6">
        <f>'Monitized Values'!F57</f>
        <v>852700</v>
      </c>
      <c r="L27" s="6">
        <f t="shared" ref="L27" si="18">J27*K27</f>
        <v>4.2712101731012805E-7</v>
      </c>
      <c r="M27" s="149">
        <v>258.8671250000001</v>
      </c>
      <c r="N27" s="149">
        <v>258.83975000000009</v>
      </c>
      <c r="O27" s="62">
        <f t="shared" si="5"/>
        <v>3.015356250000701E-2</v>
      </c>
      <c r="P27" s="63">
        <f>'Monitized Values'!E57</f>
        <v>48200</v>
      </c>
      <c r="Q27" s="64">
        <f t="shared" ref="Q27" si="19">O27*P27</f>
        <v>1453.4017125003379</v>
      </c>
      <c r="R27" s="1">
        <v>44085987.279419303</v>
      </c>
      <c r="S27" s="1">
        <v>44080722.892574281</v>
      </c>
      <c r="T27" s="138">
        <f t="shared" si="7"/>
        <v>5798.7221097922175</v>
      </c>
      <c r="U27" s="64">
        <f>'Monitized Values'!G57</f>
        <v>77</v>
      </c>
      <c r="V27" s="64">
        <f t="shared" ref="V27" si="20">T27*U27</f>
        <v>446501.60245400073</v>
      </c>
      <c r="W27" s="64">
        <f t="shared" si="9"/>
        <v>213251.65201628627</v>
      </c>
      <c r="X27" s="65">
        <f t="shared" si="10"/>
        <v>11946.84146306364</v>
      </c>
      <c r="Y27" s="65">
        <f t="shared" si="0"/>
        <v>2201.1957135580651</v>
      </c>
    </row>
    <row r="28" spans="1:26" x14ac:dyDescent="0.3">
      <c r="A28" s="18">
        <f t="shared" si="11"/>
        <v>2045</v>
      </c>
      <c r="B28" s="140">
        <v>26</v>
      </c>
      <c r="C28" s="148">
        <v>4152.8696250000066</v>
      </c>
      <c r="D28" s="148">
        <v>4152.3403749999998</v>
      </c>
      <c r="E28" s="7">
        <f t="shared" si="1"/>
        <v>0.58296887500756567</v>
      </c>
      <c r="F28" s="6">
        <f>'Monitized Values'!D58</f>
        <v>18000</v>
      </c>
      <c r="G28" s="6">
        <f t="shared" ref="G28:G29" si="21">E28*F28</f>
        <v>10493.439750136182</v>
      </c>
      <c r="H28" s="149">
        <v>200.46712500000058</v>
      </c>
      <c r="I28" s="149">
        <v>200.46712500000012</v>
      </c>
      <c r="J28" s="7">
        <f t="shared" si="3"/>
        <v>5.0090420700144019E-13</v>
      </c>
      <c r="K28" s="6">
        <f>'Monitized Values'!F58</f>
        <v>852700</v>
      </c>
      <c r="L28" s="6">
        <f t="shared" ref="L28:L29" si="22">J28*K28</f>
        <v>4.2712101731012805E-7</v>
      </c>
      <c r="M28" s="149">
        <v>258.8671250000001</v>
      </c>
      <c r="N28" s="149">
        <v>258.83975000000009</v>
      </c>
      <c r="O28" s="62">
        <f t="shared" si="5"/>
        <v>3.015356250000701E-2</v>
      </c>
      <c r="P28" s="63">
        <f>'Monitized Values'!E58</f>
        <v>48200</v>
      </c>
      <c r="Q28" s="64">
        <f t="shared" ref="Q28:Q29" si="23">O28*P28</f>
        <v>1453.4017125003379</v>
      </c>
      <c r="R28" s="1">
        <v>44487837.45465368</v>
      </c>
      <c r="S28" s="1">
        <v>44482596.533838198</v>
      </c>
      <c r="T28" s="138">
        <f t="shared" si="7"/>
        <v>5772.8742782542331</v>
      </c>
      <c r="U28" s="64">
        <f>'Monitized Values'!G58</f>
        <v>78</v>
      </c>
      <c r="V28" s="64">
        <f t="shared" ref="V28:V29" si="24">T28*U28</f>
        <v>450284.19370383018</v>
      </c>
      <c r="W28" s="64">
        <f t="shared" si="9"/>
        <v>208794.40646936427</v>
      </c>
      <c r="X28" s="65">
        <f t="shared" si="10"/>
        <v>11946.84146306364</v>
      </c>
      <c r="Y28" s="65">
        <f t="shared" si="0"/>
        <v>2057.1922556617433</v>
      </c>
    </row>
    <row r="29" spans="1:26" x14ac:dyDescent="0.3">
      <c r="A29" s="18">
        <f t="shared" si="11"/>
        <v>2046</v>
      </c>
      <c r="B29" s="140">
        <v>27</v>
      </c>
      <c r="C29" s="148">
        <v>4152.8696250000066</v>
      </c>
      <c r="D29" s="148">
        <v>4152.3403749999998</v>
      </c>
      <c r="E29" s="7">
        <f t="shared" si="1"/>
        <v>0.58296887500756567</v>
      </c>
      <c r="F29" s="6">
        <f>'Monitized Values'!D59</f>
        <v>18000</v>
      </c>
      <c r="G29" s="6">
        <f t="shared" si="21"/>
        <v>10493.439750136182</v>
      </c>
      <c r="H29" s="149">
        <v>200.46712500000058</v>
      </c>
      <c r="I29" s="149">
        <v>200.46712500000012</v>
      </c>
      <c r="J29" s="7">
        <f t="shared" si="3"/>
        <v>5.0090420700144019E-13</v>
      </c>
      <c r="K29" s="6">
        <f>'Monitized Values'!F59</f>
        <v>852700</v>
      </c>
      <c r="L29" s="6">
        <f t="shared" si="22"/>
        <v>4.2712101731012805E-7</v>
      </c>
      <c r="M29" s="149">
        <v>258.8671250000001</v>
      </c>
      <c r="N29" s="149">
        <v>258.83975000000009</v>
      </c>
      <c r="O29" s="62">
        <f t="shared" si="5"/>
        <v>3.015356250000701E-2</v>
      </c>
      <c r="P29" s="63">
        <f>'Monitized Values'!E59</f>
        <v>48200</v>
      </c>
      <c r="Q29" s="64">
        <f t="shared" si="23"/>
        <v>1453.4017125003379</v>
      </c>
      <c r="R29" s="1">
        <v>44889687.629888058</v>
      </c>
      <c r="S29" s="1">
        <v>44884470.1751021</v>
      </c>
      <c r="T29" s="138">
        <f t="shared" si="7"/>
        <v>5747.0264467326624</v>
      </c>
      <c r="U29" s="64">
        <f>'Monitized Values'!G59</f>
        <v>79</v>
      </c>
      <c r="V29" s="64">
        <f t="shared" si="24"/>
        <v>454015.08929188031</v>
      </c>
      <c r="W29" s="64">
        <f t="shared" si="9"/>
        <v>204392.6243516182</v>
      </c>
      <c r="X29" s="65">
        <f t="shared" si="10"/>
        <v>11946.84146306364</v>
      </c>
      <c r="Y29" s="65">
        <f t="shared" si="0"/>
        <v>1922.6095847306008</v>
      </c>
    </row>
    <row r="30" spans="1:26" x14ac:dyDescent="0.3">
      <c r="A30" s="143"/>
      <c r="B30" s="144"/>
      <c r="C30" s="154"/>
      <c r="D30" s="154"/>
      <c r="E30" s="145">
        <f>SUM(E2:E29)</f>
        <v>21.831179250085725</v>
      </c>
      <c r="F30" s="155"/>
      <c r="G30" s="155"/>
      <c r="H30" s="154"/>
      <c r="I30" s="154"/>
      <c r="J30" s="145">
        <f>SUM(J2:J29)</f>
        <v>2.1710565000060149</v>
      </c>
      <c r="K30" s="155"/>
      <c r="L30" s="155"/>
      <c r="M30" s="154"/>
      <c r="N30" s="154"/>
      <c r="O30" s="156">
        <f>SUM(O2:O29)</f>
        <v>0.72368550000054388</v>
      </c>
      <c r="P30" s="139"/>
      <c r="Q30" s="153"/>
      <c r="R30" s="21"/>
      <c r="S30" s="21"/>
      <c r="T30" s="183">
        <f>SUM(T2:T29)</f>
        <v>126115.60000232734</v>
      </c>
      <c r="U30" s="153"/>
      <c r="V30" s="184"/>
      <c r="W30" s="185"/>
      <c r="X30" s="157"/>
      <c r="Y30" s="157"/>
    </row>
    <row r="31" spans="1:26" x14ac:dyDescent="0.3">
      <c r="A31" s="143"/>
      <c r="B31" s="144"/>
      <c r="C31" s="154"/>
      <c r="D31" s="154"/>
      <c r="E31" s="145"/>
      <c r="F31" s="155"/>
      <c r="G31" s="155"/>
      <c r="H31" s="154"/>
      <c r="I31" s="154"/>
      <c r="J31" s="145"/>
      <c r="K31" s="155"/>
      <c r="L31" s="155"/>
      <c r="M31" s="154"/>
      <c r="N31" s="154"/>
      <c r="O31" s="156"/>
      <c r="P31" s="139"/>
      <c r="Q31" s="153"/>
      <c r="R31" s="21"/>
      <c r="S31" s="52"/>
      <c r="T31" s="186"/>
      <c r="U31" s="153"/>
      <c r="V31" s="153"/>
      <c r="W31" s="153"/>
      <c r="X31" s="187"/>
      <c r="Y31" s="157"/>
    </row>
    <row r="32" spans="1:26" x14ac:dyDescent="0.3">
      <c r="J32" s="73"/>
      <c r="O32" s="81"/>
      <c r="S32" s="52"/>
      <c r="T32" s="153"/>
      <c r="U32" s="52"/>
      <c r="V32" s="153"/>
      <c r="W32" s="153">
        <f>SUM(W2:W31)</f>
        <v>5178147.0982169528</v>
      </c>
      <c r="X32" s="52"/>
      <c r="Y32" s="70">
        <f>SUM(Y2:Y29)</f>
        <v>1123034.6121792516</v>
      </c>
      <c r="Z32" s="70">
        <f>Y32+W32</f>
        <v>6301181.7103962041</v>
      </c>
    </row>
    <row r="33" spans="1:24" x14ac:dyDescent="0.3">
      <c r="A33" s="72" t="s">
        <v>82</v>
      </c>
      <c r="S33" s="52"/>
      <c r="T33" s="153"/>
      <c r="U33" s="52"/>
      <c r="V33" s="153"/>
      <c r="W33" s="153"/>
      <c r="X33" s="52"/>
    </row>
    <row r="34" spans="1:24" x14ac:dyDescent="0.3">
      <c r="A34" s="72"/>
      <c r="S34" s="52"/>
      <c r="T34" s="52"/>
      <c r="U34" s="52"/>
      <c r="V34" s="52"/>
      <c r="W34" s="153"/>
      <c r="X34" s="52"/>
    </row>
    <row r="35" spans="1:24" x14ac:dyDescent="0.3">
      <c r="A35" s="160"/>
    </row>
    <row r="37" spans="1:24" ht="54" x14ac:dyDescent="0.3">
      <c r="E37" s="43" t="s">
        <v>169</v>
      </c>
      <c r="F37" s="43" t="s">
        <v>170</v>
      </c>
      <c r="G37" s="43" t="s">
        <v>171</v>
      </c>
      <c r="H37" s="43" t="s">
        <v>172</v>
      </c>
      <c r="I37" s="43" t="s">
        <v>173</v>
      </c>
      <c r="J37" s="43" t="s">
        <v>174</v>
      </c>
    </row>
    <row r="38" spans="1:24" x14ac:dyDescent="0.3">
      <c r="E38" s="193">
        <f>E30</f>
        <v>21.831179250085725</v>
      </c>
      <c r="F38" s="193">
        <f>J30</f>
        <v>2.1710565000060149</v>
      </c>
      <c r="G38" s="194">
        <f>O30</f>
        <v>0.72368550000054388</v>
      </c>
      <c r="H38" s="195">
        <f>T30</f>
        <v>126115.60000232734</v>
      </c>
      <c r="I38" s="196">
        <f>Y32</f>
        <v>1123034.6121792516</v>
      </c>
      <c r="J38" s="196">
        <f>W32</f>
        <v>5178147.0982169528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8468-91B1-4FA4-B1F9-437C5DCDABCC}">
  <dimension ref="B2:I27"/>
  <sheetViews>
    <sheetView workbookViewId="0">
      <selection activeCell="J34" sqref="J34"/>
    </sheetView>
  </sheetViews>
  <sheetFormatPr defaultRowHeight="14.5" x14ac:dyDescent="0.35"/>
  <cols>
    <col min="1" max="1" width="9.23046875" style="292"/>
    <col min="2" max="2" width="17.3828125" style="292" customWidth="1"/>
    <col min="3" max="3" width="12.3046875" style="292" bestFit="1" customWidth="1"/>
    <col min="4" max="4" width="8.61328125" style="292" bestFit="1" customWidth="1"/>
    <col min="5" max="7" width="9.23046875" style="292"/>
    <col min="8" max="8" width="8.921875" style="292" bestFit="1" customWidth="1"/>
    <col min="9" max="16384" width="9.23046875" style="292"/>
  </cols>
  <sheetData>
    <row r="2" spans="2:8" x14ac:dyDescent="0.35">
      <c r="C2" s="344" t="s">
        <v>208</v>
      </c>
      <c r="D2" s="344"/>
      <c r="E2" s="344"/>
      <c r="F2" s="344"/>
      <c r="G2" s="344"/>
      <c r="H2" s="344"/>
    </row>
    <row r="3" spans="2:8" x14ac:dyDescent="0.35">
      <c r="B3" s="293" t="s">
        <v>209</v>
      </c>
      <c r="C3" s="293"/>
      <c r="D3" s="293"/>
      <c r="E3" s="293"/>
      <c r="F3" s="293"/>
      <c r="G3" s="293" t="s">
        <v>210</v>
      </c>
      <c r="H3" s="294"/>
    </row>
    <row r="4" spans="2:8" x14ac:dyDescent="0.35">
      <c r="B4" s="295" t="s">
        <v>211</v>
      </c>
      <c r="C4" s="296" t="s">
        <v>212</v>
      </c>
      <c r="D4" s="296" t="s">
        <v>213</v>
      </c>
      <c r="E4" s="296" t="s">
        <v>214</v>
      </c>
      <c r="F4" s="296" t="s">
        <v>215</v>
      </c>
      <c r="G4" s="296" t="s">
        <v>216</v>
      </c>
      <c r="H4" s="296" t="s">
        <v>217</v>
      </c>
    </row>
    <row r="5" spans="2:8" x14ac:dyDescent="0.35">
      <c r="B5" s="294" t="s">
        <v>218</v>
      </c>
      <c r="C5" s="297">
        <v>9.9625676159149038E-2</v>
      </c>
      <c r="D5" s="298">
        <v>22853</v>
      </c>
      <c r="E5" s="298">
        <v>1150</v>
      </c>
      <c r="F5" s="294">
        <v>570</v>
      </c>
      <c r="G5" s="298">
        <v>12741</v>
      </c>
      <c r="H5" s="298">
        <v>37314</v>
      </c>
    </row>
    <row r="6" spans="2:8" x14ac:dyDescent="0.35">
      <c r="B6" s="294" t="s">
        <v>219</v>
      </c>
      <c r="C6" s="297">
        <v>9.0032626514516392E-2</v>
      </c>
      <c r="D6" s="298">
        <v>13619</v>
      </c>
      <c r="E6" s="298">
        <v>1193</v>
      </c>
      <c r="F6" s="294">
        <v>1572</v>
      </c>
      <c r="G6" s="298">
        <v>17337</v>
      </c>
      <c r="H6" s="298">
        <v>33721</v>
      </c>
    </row>
    <row r="7" spans="2:8" x14ac:dyDescent="0.35">
      <c r="B7" s="294" t="s">
        <v>220</v>
      </c>
      <c r="C7" s="297">
        <v>0.11229715225528779</v>
      </c>
      <c r="D7" s="298">
        <v>3883</v>
      </c>
      <c r="E7" s="298">
        <v>741</v>
      </c>
      <c r="F7" s="294">
        <v>2121</v>
      </c>
      <c r="G7" s="298">
        <v>35315</v>
      </c>
      <c r="H7" s="298">
        <v>42060</v>
      </c>
    </row>
    <row r="8" spans="2:8" x14ac:dyDescent="0.35">
      <c r="B8" s="294" t="s">
        <v>221</v>
      </c>
      <c r="C8" s="297">
        <v>0.1113600076893913</v>
      </c>
      <c r="D8" s="298">
        <v>669</v>
      </c>
      <c r="E8" s="298">
        <v>280</v>
      </c>
      <c r="F8" s="294">
        <v>1843</v>
      </c>
      <c r="G8" s="298">
        <v>38917</v>
      </c>
      <c r="H8" s="298">
        <v>41709</v>
      </c>
    </row>
    <row r="9" spans="2:8" x14ac:dyDescent="0.35">
      <c r="B9" s="294" t="s">
        <v>222</v>
      </c>
      <c r="C9" s="297">
        <v>0.1503863385147727</v>
      </c>
      <c r="D9" s="298">
        <v>401</v>
      </c>
      <c r="E9" s="298">
        <v>286</v>
      </c>
      <c r="F9" s="294">
        <v>2553</v>
      </c>
      <c r="G9" s="298">
        <v>53086</v>
      </c>
      <c r="H9" s="298">
        <v>56326</v>
      </c>
    </row>
    <row r="10" spans="2:8" x14ac:dyDescent="0.35">
      <c r="B10" s="294" t="s">
        <v>223</v>
      </c>
      <c r="C10" s="297">
        <v>0.19420518927116318</v>
      </c>
      <c r="D10" s="298">
        <v>214</v>
      </c>
      <c r="E10" s="298">
        <v>203</v>
      </c>
      <c r="F10" s="294">
        <v>2905</v>
      </c>
      <c r="G10" s="298">
        <v>69416</v>
      </c>
      <c r="H10" s="298">
        <v>72738</v>
      </c>
    </row>
    <row r="11" spans="2:8" x14ac:dyDescent="0.35">
      <c r="B11" s="294" t="s">
        <v>224</v>
      </c>
      <c r="C11" s="297">
        <v>0.24209300959571958</v>
      </c>
      <c r="D11" s="298">
        <v>88</v>
      </c>
      <c r="E11" s="298">
        <v>105</v>
      </c>
      <c r="F11" s="294">
        <v>2565</v>
      </c>
      <c r="G11" s="298">
        <v>87916</v>
      </c>
      <c r="H11" s="298">
        <v>90674</v>
      </c>
    </row>
    <row r="12" spans="2:8" x14ac:dyDescent="0.35">
      <c r="B12" s="294" t="s">
        <v>225</v>
      </c>
      <c r="C12" s="297">
        <v>1</v>
      </c>
      <c r="D12" s="298">
        <v>41727</v>
      </c>
      <c r="E12" s="298">
        <v>3958</v>
      </c>
      <c r="F12" s="298">
        <v>14129</v>
      </c>
      <c r="G12" s="298">
        <v>314728</v>
      </c>
      <c r="H12" s="298">
        <v>374542</v>
      </c>
    </row>
    <row r="13" spans="2:8" x14ac:dyDescent="0.35">
      <c r="B13" s="294" t="s">
        <v>226</v>
      </c>
    </row>
    <row r="15" spans="2:8" x14ac:dyDescent="0.35">
      <c r="B15" s="292" t="s">
        <v>227</v>
      </c>
      <c r="D15" s="292" t="s">
        <v>228</v>
      </c>
      <c r="E15" s="292" t="s">
        <v>229</v>
      </c>
      <c r="F15" s="292" t="s">
        <v>48</v>
      </c>
      <c r="G15" s="292" t="s">
        <v>230</v>
      </c>
      <c r="H15" s="292" t="s">
        <v>231</v>
      </c>
    </row>
    <row r="16" spans="2:8" x14ac:dyDescent="0.35">
      <c r="B16" s="299" t="s">
        <v>232</v>
      </c>
      <c r="D16" s="300">
        <f>SUM(D5:E6)</f>
        <v>38815</v>
      </c>
      <c r="E16" s="300">
        <f>G5+G6</f>
        <v>30078</v>
      </c>
      <c r="F16" s="300">
        <f>D16+E16</f>
        <v>68893</v>
      </c>
      <c r="G16" s="301">
        <f>D16/$F16</f>
        <v>0.56340992553670188</v>
      </c>
      <c r="H16" s="301">
        <f>E16/$F16</f>
        <v>0.43659007446329817</v>
      </c>
    </row>
    <row r="17" spans="2:9" x14ac:dyDescent="0.35">
      <c r="B17" s="299" t="s">
        <v>233</v>
      </c>
      <c r="D17" s="300">
        <f>SUM(D7:E7)</f>
        <v>4624</v>
      </c>
      <c r="E17" s="300">
        <f>G7</f>
        <v>35315</v>
      </c>
      <c r="F17" s="300">
        <f t="shared" ref="F17:F21" si="0">D17+E17</f>
        <v>39939</v>
      </c>
      <c r="G17" s="301">
        <f t="shared" ref="G17:H22" si="1">D17/$F17</f>
        <v>0.11577655925286061</v>
      </c>
      <c r="H17" s="301">
        <f t="shared" si="1"/>
        <v>0.88422344074713943</v>
      </c>
    </row>
    <row r="18" spans="2:9" x14ac:dyDescent="0.35">
      <c r="B18" s="299" t="s">
        <v>234</v>
      </c>
      <c r="D18" s="300">
        <f>SUM(D8:E8)</f>
        <v>949</v>
      </c>
      <c r="E18" s="300">
        <f t="shared" ref="E18:E21" si="2">G8</f>
        <v>38917</v>
      </c>
      <c r="F18" s="300">
        <f t="shared" si="0"/>
        <v>39866</v>
      </c>
      <c r="G18" s="301">
        <f t="shared" si="1"/>
        <v>2.3804745898760849E-2</v>
      </c>
      <c r="H18" s="301">
        <f t="shared" si="1"/>
        <v>0.9761952541012392</v>
      </c>
    </row>
    <row r="19" spans="2:9" x14ac:dyDescent="0.35">
      <c r="B19" s="299" t="s">
        <v>235</v>
      </c>
      <c r="D19" s="300">
        <f>SUM(D9:E9)</f>
        <v>687</v>
      </c>
      <c r="E19" s="300">
        <f t="shared" si="2"/>
        <v>53086</v>
      </c>
      <c r="F19" s="300">
        <f t="shared" si="0"/>
        <v>53773</v>
      </c>
      <c r="G19" s="301">
        <f t="shared" si="1"/>
        <v>1.2775928439923381E-2</v>
      </c>
      <c r="H19" s="301">
        <f t="shared" si="1"/>
        <v>0.98722407156007663</v>
      </c>
    </row>
    <row r="20" spans="2:9" x14ac:dyDescent="0.35">
      <c r="B20" s="299" t="s">
        <v>236</v>
      </c>
      <c r="D20" s="300">
        <f>SUM(D10:E10)</f>
        <v>417</v>
      </c>
      <c r="E20" s="300">
        <f t="shared" si="2"/>
        <v>69416</v>
      </c>
      <c r="F20" s="300">
        <f t="shared" si="0"/>
        <v>69833</v>
      </c>
      <c r="G20" s="301">
        <f t="shared" si="1"/>
        <v>5.9713888849111454E-3</v>
      </c>
      <c r="H20" s="301">
        <f t="shared" si="1"/>
        <v>0.99402861111508889</v>
      </c>
    </row>
    <row r="21" spans="2:9" x14ac:dyDescent="0.35">
      <c r="B21" s="299" t="s">
        <v>237</v>
      </c>
      <c r="D21" s="300">
        <f>SUM(D11:E11)</f>
        <v>193</v>
      </c>
      <c r="E21" s="300">
        <f t="shared" si="2"/>
        <v>87916</v>
      </c>
      <c r="F21" s="300">
        <f t="shared" si="0"/>
        <v>88109</v>
      </c>
      <c r="G21" s="301">
        <f t="shared" si="1"/>
        <v>2.1904686240906152E-3</v>
      </c>
      <c r="H21" s="301">
        <f t="shared" si="1"/>
        <v>0.99780953137590933</v>
      </c>
    </row>
    <row r="22" spans="2:9" x14ac:dyDescent="0.35">
      <c r="D22" s="300">
        <f>SUM(D16:D21)</f>
        <v>45685</v>
      </c>
      <c r="E22" s="300">
        <f t="shared" ref="E22:F22" si="3">SUM(E16:E21)</f>
        <v>314728</v>
      </c>
      <c r="F22" s="300">
        <f t="shared" si="3"/>
        <v>360413</v>
      </c>
      <c r="G22" s="301">
        <f t="shared" si="1"/>
        <v>0.12675735891879594</v>
      </c>
      <c r="H22" s="301">
        <f t="shared" si="1"/>
        <v>0.87324264108120409</v>
      </c>
    </row>
    <row r="24" spans="2:9" x14ac:dyDescent="0.35">
      <c r="D24" s="299" t="s">
        <v>232</v>
      </c>
      <c r="E24" s="299" t="s">
        <v>233</v>
      </c>
      <c r="F24" s="299" t="s">
        <v>234</v>
      </c>
      <c r="G24" s="299" t="s">
        <v>235</v>
      </c>
      <c r="H24" s="299" t="s">
        <v>236</v>
      </c>
      <c r="I24" s="299" t="s">
        <v>237</v>
      </c>
    </row>
    <row r="25" spans="2:9" x14ac:dyDescent="0.35">
      <c r="C25" s="302" t="s">
        <v>230</v>
      </c>
      <c r="D25" s="301">
        <v>0.56340992553670188</v>
      </c>
      <c r="E25" s="301">
        <v>0.11577655925286061</v>
      </c>
      <c r="F25" s="301">
        <v>2.3804745898760849E-2</v>
      </c>
      <c r="G25" s="301">
        <v>1.2775928439923381E-2</v>
      </c>
      <c r="H25" s="301">
        <v>5.9713888849111454E-3</v>
      </c>
      <c r="I25" s="301">
        <v>2.1904686240906152E-3</v>
      </c>
    </row>
    <row r="26" spans="2:9" x14ac:dyDescent="0.35">
      <c r="C26" s="302" t="s">
        <v>231</v>
      </c>
      <c r="D26" s="301">
        <v>0.43659007446329817</v>
      </c>
      <c r="E26" s="301">
        <v>0.88422344074713943</v>
      </c>
      <c r="F26" s="301">
        <v>0.9761952541012392</v>
      </c>
      <c r="G26" s="301">
        <v>0.98722407156007663</v>
      </c>
      <c r="H26" s="301">
        <v>0.99402861111508889</v>
      </c>
      <c r="I26" s="301">
        <v>0.99780953137590933</v>
      </c>
    </row>
    <row r="27" spans="2:9" x14ac:dyDescent="0.35">
      <c r="C27" s="303" t="s">
        <v>238</v>
      </c>
      <c r="D27" s="304">
        <f t="shared" ref="D27:I27" si="4">D25/2</f>
        <v>0.28170496276835094</v>
      </c>
      <c r="E27" s="305">
        <f t="shared" si="4"/>
        <v>5.7888279626430304E-2</v>
      </c>
      <c r="F27" s="305">
        <f t="shared" si="4"/>
        <v>1.1902372949380425E-2</v>
      </c>
      <c r="G27" s="305">
        <f t="shared" si="4"/>
        <v>6.3879642199616907E-3</v>
      </c>
      <c r="H27" s="305">
        <f t="shared" si="4"/>
        <v>2.9856944424555727E-3</v>
      </c>
      <c r="I27" s="306">
        <f t="shared" si="4"/>
        <v>1.0952343120453076E-3</v>
      </c>
    </row>
  </sheetData>
  <mergeCells count="1">
    <mergeCell ref="C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59F2-8DCB-4D53-877F-A3A19F8AE77E}">
  <dimension ref="A1:K53"/>
  <sheetViews>
    <sheetView workbookViewId="0"/>
  </sheetViews>
  <sheetFormatPr defaultRowHeight="14.5" x14ac:dyDescent="0.35"/>
  <cols>
    <col min="1" max="1" width="11.4609375" style="292" customWidth="1"/>
    <col min="2" max="2" width="18.765625" style="292" customWidth="1"/>
    <col min="3" max="8" width="9.3046875" style="292" customWidth="1"/>
    <col min="9" max="9" width="13.921875" style="292" bestFit="1" customWidth="1"/>
    <col min="10" max="10" width="12.07421875" style="292" bestFit="1" customWidth="1"/>
    <col min="11" max="11" width="9.69140625" style="292" bestFit="1" customWidth="1"/>
    <col min="12" max="16384" width="9.23046875" style="292"/>
  </cols>
  <sheetData>
    <row r="1" spans="1:9" x14ac:dyDescent="0.35">
      <c r="C1" s="345" t="s">
        <v>239</v>
      </c>
      <c r="D1" s="346"/>
      <c r="E1" s="346"/>
      <c r="F1" s="346"/>
      <c r="G1" s="346"/>
      <c r="H1" s="346"/>
      <c r="I1" s="347"/>
    </row>
    <row r="2" spans="1:9" x14ac:dyDescent="0.35">
      <c r="B2" s="307" t="s">
        <v>240</v>
      </c>
      <c r="C2" s="299" t="s">
        <v>232</v>
      </c>
      <c r="D2" s="299" t="s">
        <v>233</v>
      </c>
      <c r="E2" s="299" t="s">
        <v>234</v>
      </c>
      <c r="F2" s="299" t="s">
        <v>235</v>
      </c>
      <c r="G2" s="299" t="s">
        <v>236</v>
      </c>
      <c r="H2" s="299" t="s">
        <v>237</v>
      </c>
      <c r="I2" s="299" t="s">
        <v>241</v>
      </c>
    </row>
    <row r="3" spans="1:9" x14ac:dyDescent="0.35">
      <c r="A3" s="348" t="s">
        <v>242</v>
      </c>
      <c r="B3" s="308" t="s">
        <v>243</v>
      </c>
      <c r="C3" s="309">
        <v>6721.3060000000005</v>
      </c>
      <c r="D3" s="310">
        <v>4161.7970000000005</v>
      </c>
      <c r="E3" s="310">
        <v>2239.5460000000003</v>
      </c>
      <c r="F3" s="310">
        <v>2881.1330000000007</v>
      </c>
      <c r="G3" s="310">
        <v>3837.1290000000017</v>
      </c>
      <c r="H3" s="310">
        <v>5959.5889999999981</v>
      </c>
      <c r="I3" s="311">
        <f>SUM(C3:H3)</f>
        <v>25800.5</v>
      </c>
    </row>
    <row r="4" spans="1:9" x14ac:dyDescent="0.35">
      <c r="A4" s="348"/>
      <c r="B4" s="308" t="s">
        <v>244</v>
      </c>
      <c r="C4" s="312">
        <v>3365.2849999999999</v>
      </c>
      <c r="D4" s="313">
        <v>3108.0824999999995</v>
      </c>
      <c r="E4" s="313">
        <v>1473.7374999999997</v>
      </c>
      <c r="F4" s="313">
        <v>1757.3864999999992</v>
      </c>
      <c r="G4" s="313">
        <v>2351.5169999999989</v>
      </c>
      <c r="H4" s="313">
        <v>4676.9915000000001</v>
      </c>
      <c r="I4" s="314">
        <f t="shared" ref="I4:I5" si="0">SUM(C4:H4)</f>
        <v>16732.999999999996</v>
      </c>
    </row>
    <row r="5" spans="1:9" x14ac:dyDescent="0.35">
      <c r="A5" s="348"/>
      <c r="B5" s="308" t="s">
        <v>245</v>
      </c>
      <c r="C5" s="315">
        <v>4718.8234999999995</v>
      </c>
      <c r="D5" s="316">
        <v>3797.3259999999996</v>
      </c>
      <c r="E5" s="316">
        <v>1740.64</v>
      </c>
      <c r="F5" s="316">
        <v>2181.7964999999999</v>
      </c>
      <c r="G5" s="316">
        <v>3240.0045000000018</v>
      </c>
      <c r="H5" s="316">
        <v>5443.4094999999979</v>
      </c>
      <c r="I5" s="317">
        <f t="shared" si="0"/>
        <v>21122</v>
      </c>
    </row>
    <row r="6" spans="1:9" x14ac:dyDescent="0.35">
      <c r="I6" s="318">
        <f>SUM(I3:I5)</f>
        <v>63655.5</v>
      </c>
    </row>
    <row r="7" spans="1:9" x14ac:dyDescent="0.35">
      <c r="C7" s="299" t="s">
        <v>232</v>
      </c>
      <c r="D7" s="299" t="s">
        <v>233</v>
      </c>
      <c r="E7" s="299" t="s">
        <v>234</v>
      </c>
      <c r="F7" s="299" t="s">
        <v>235</v>
      </c>
      <c r="G7" s="299" t="s">
        <v>236</v>
      </c>
      <c r="H7" s="299" t="s">
        <v>263</v>
      </c>
      <c r="I7" s="318"/>
    </row>
    <row r="8" spans="1:9" x14ac:dyDescent="0.35">
      <c r="B8" s="303" t="s">
        <v>246</v>
      </c>
      <c r="C8" s="319">
        <v>0.5</v>
      </c>
      <c r="D8" s="320">
        <v>1.5</v>
      </c>
      <c r="E8" s="320">
        <v>2.5</v>
      </c>
      <c r="F8" s="320">
        <v>4</v>
      </c>
      <c r="G8" s="320">
        <v>7.5</v>
      </c>
      <c r="H8" s="321">
        <v>10</v>
      </c>
      <c r="I8" s="322"/>
    </row>
    <row r="9" spans="1:9" x14ac:dyDescent="0.35">
      <c r="B9" s="303"/>
      <c r="C9" s="322"/>
      <c r="D9" s="322"/>
      <c r="E9" s="322"/>
      <c r="F9" s="322"/>
      <c r="G9" s="322"/>
      <c r="H9" s="322"/>
      <c r="I9" s="322"/>
    </row>
    <row r="10" spans="1:9" x14ac:dyDescent="0.35">
      <c r="C10" s="299" t="s">
        <v>232</v>
      </c>
      <c r="D10" s="299" t="s">
        <v>233</v>
      </c>
      <c r="E10" s="299" t="s">
        <v>234</v>
      </c>
      <c r="F10" s="299" t="s">
        <v>235</v>
      </c>
      <c r="G10" s="299" t="s">
        <v>236</v>
      </c>
      <c r="H10" s="299" t="s">
        <v>237</v>
      </c>
      <c r="I10" s="299" t="s">
        <v>48</v>
      </c>
    </row>
    <row r="11" spans="1:9" x14ac:dyDescent="0.35">
      <c r="A11" s="349" t="s">
        <v>247</v>
      </c>
      <c r="B11" s="323" t="s">
        <v>248</v>
      </c>
      <c r="C11" s="309">
        <f>C3*C$8</f>
        <v>3360.6530000000002</v>
      </c>
      <c r="D11" s="310">
        <f t="shared" ref="D11:H13" si="1">D3*D$8</f>
        <v>6242.6955000000007</v>
      </c>
      <c r="E11" s="310">
        <f t="shared" si="1"/>
        <v>5598.8650000000007</v>
      </c>
      <c r="F11" s="310">
        <f t="shared" si="1"/>
        <v>11524.532000000003</v>
      </c>
      <c r="G11" s="310">
        <f t="shared" si="1"/>
        <v>28778.467500000013</v>
      </c>
      <c r="H11" s="310">
        <f t="shared" si="1"/>
        <v>59595.889999999985</v>
      </c>
      <c r="I11" s="311">
        <f>SUM(C11:H11)</f>
        <v>115101.103</v>
      </c>
    </row>
    <row r="12" spans="1:9" x14ac:dyDescent="0.35">
      <c r="A12" s="349"/>
      <c r="B12" s="323" t="s">
        <v>249</v>
      </c>
      <c r="C12" s="312">
        <f>C4*C$8</f>
        <v>1682.6424999999999</v>
      </c>
      <c r="D12" s="313">
        <f t="shared" si="1"/>
        <v>4662.1237499999988</v>
      </c>
      <c r="E12" s="313">
        <f t="shared" si="1"/>
        <v>3684.3437499999991</v>
      </c>
      <c r="F12" s="313">
        <f t="shared" si="1"/>
        <v>7029.5459999999966</v>
      </c>
      <c r="G12" s="313">
        <f t="shared" si="1"/>
        <v>17636.377499999991</v>
      </c>
      <c r="H12" s="313">
        <f t="shared" si="1"/>
        <v>46769.915000000001</v>
      </c>
      <c r="I12" s="314">
        <f t="shared" ref="I12:I13" si="2">SUM(C12:H12)</f>
        <v>81464.948499999999</v>
      </c>
    </row>
    <row r="13" spans="1:9" x14ac:dyDescent="0.35">
      <c r="A13" s="349"/>
      <c r="B13" s="323" t="s">
        <v>250</v>
      </c>
      <c r="C13" s="315">
        <f>C5*C$8</f>
        <v>2359.4117499999998</v>
      </c>
      <c r="D13" s="316">
        <f t="shared" si="1"/>
        <v>5695.9889999999996</v>
      </c>
      <c r="E13" s="316">
        <f t="shared" si="1"/>
        <v>4351.6000000000004</v>
      </c>
      <c r="F13" s="316">
        <f t="shared" si="1"/>
        <v>8727.1859999999997</v>
      </c>
      <c r="G13" s="316">
        <f t="shared" si="1"/>
        <v>24300.033750000013</v>
      </c>
      <c r="H13" s="316">
        <f t="shared" si="1"/>
        <v>54434.094999999979</v>
      </c>
      <c r="I13" s="317">
        <f t="shared" si="2"/>
        <v>99868.315499999997</v>
      </c>
    </row>
    <row r="14" spans="1:9" x14ac:dyDescent="0.35">
      <c r="A14" s="324"/>
      <c r="B14" s="323"/>
      <c r="C14" s="313"/>
      <c r="D14" s="313"/>
      <c r="E14" s="313"/>
      <c r="F14" s="313"/>
      <c r="G14" s="313"/>
      <c r="H14" s="313"/>
      <c r="I14" s="325">
        <f>SUM(I11:I13)</f>
        <v>296434.36699999997</v>
      </c>
    </row>
    <row r="15" spans="1:9" x14ac:dyDescent="0.35">
      <c r="C15" s="299" t="s">
        <v>232</v>
      </c>
      <c r="D15" s="299" t="s">
        <v>233</v>
      </c>
      <c r="E15" s="299" t="s">
        <v>234</v>
      </c>
      <c r="F15" s="299" t="s">
        <v>235</v>
      </c>
      <c r="G15" s="299" t="s">
        <v>236</v>
      </c>
      <c r="H15" s="299" t="s">
        <v>237</v>
      </c>
    </row>
    <row r="16" spans="1:9" ht="43.5" x14ac:dyDescent="0.35">
      <c r="B16" s="326" t="s">
        <v>251</v>
      </c>
      <c r="C16" s="327">
        <v>0.28170496276835094</v>
      </c>
      <c r="D16" s="328">
        <v>5.7888279626430304E-2</v>
      </c>
      <c r="E16" s="328">
        <v>1.1902372949380425E-2</v>
      </c>
      <c r="F16" s="328">
        <v>6.3879642199616907E-3</v>
      </c>
      <c r="G16" s="328">
        <v>2.9856944424555727E-3</v>
      </c>
      <c r="H16" s="329">
        <v>1.0952343120453076E-3</v>
      </c>
      <c r="I16" s="301"/>
    </row>
    <row r="17" spans="1:11" x14ac:dyDescent="0.35">
      <c r="B17" s="307" t="s">
        <v>240</v>
      </c>
      <c r="C17" s="299" t="s">
        <v>232</v>
      </c>
      <c r="D17" s="299" t="s">
        <v>233</v>
      </c>
      <c r="E17" s="299" t="s">
        <v>234</v>
      </c>
      <c r="F17" s="299" t="s">
        <v>235</v>
      </c>
      <c r="G17" s="299" t="s">
        <v>236</v>
      </c>
      <c r="H17" s="299" t="s">
        <v>237</v>
      </c>
      <c r="I17" s="299" t="s">
        <v>48</v>
      </c>
      <c r="J17" s="330" t="s">
        <v>252</v>
      </c>
    </row>
    <row r="18" spans="1:11" x14ac:dyDescent="0.35">
      <c r="A18" s="350" t="s">
        <v>253</v>
      </c>
      <c r="B18" s="308" t="s">
        <v>243</v>
      </c>
      <c r="C18" s="309">
        <f>C11*C$16</f>
        <v>946.71262824234702</v>
      </c>
      <c r="D18" s="310">
        <f t="shared" ref="D18:H20" si="3">D11*D$16</f>
        <v>361.37890272665817</v>
      </c>
      <c r="E18" s="310">
        <f t="shared" si="3"/>
        <v>66.639779323232844</v>
      </c>
      <c r="F18" s="310">
        <f t="shared" si="3"/>
        <v>73.618298067803565</v>
      </c>
      <c r="G18" s="310">
        <f t="shared" si="3"/>
        <v>85.923710477138357</v>
      </c>
      <c r="H18" s="310">
        <f t="shared" si="3"/>
        <v>65.271463584877807</v>
      </c>
      <c r="I18" s="311">
        <f>SUM(C18:H18)</f>
        <v>1599.544782422058</v>
      </c>
      <c r="J18" s="331">
        <f>I18/I11</f>
        <v>1.3896867542807631E-2</v>
      </c>
    </row>
    <row r="19" spans="1:11" x14ac:dyDescent="0.35">
      <c r="A19" s="350"/>
      <c r="B19" s="308" t="s">
        <v>244</v>
      </c>
      <c r="C19" s="312">
        <f>C12*C$16</f>
        <v>474.00874281494492</v>
      </c>
      <c r="D19" s="313">
        <f t="shared" si="3"/>
        <v>269.88232329302178</v>
      </c>
      <c r="E19" s="313">
        <f t="shared" si="3"/>
        <v>43.85243338621882</v>
      </c>
      <c r="F19" s="313">
        <f t="shared" si="3"/>
        <v>44.9044883305748</v>
      </c>
      <c r="G19" s="313">
        <f t="shared" si="3"/>
        <v>52.656834286798485</v>
      </c>
      <c r="H19" s="313">
        <f t="shared" si="3"/>
        <v>51.224015679442516</v>
      </c>
      <c r="I19" s="314">
        <f t="shared" ref="I19:I20" si="4">SUM(C19:H19)</f>
        <v>936.52883779100125</v>
      </c>
      <c r="J19" s="331">
        <f>I19/I12</f>
        <v>1.1496095621922615E-2</v>
      </c>
    </row>
    <row r="20" spans="1:11" x14ac:dyDescent="0.35">
      <c r="A20" s="350"/>
      <c r="B20" s="308" t="s">
        <v>245</v>
      </c>
      <c r="C20" s="315">
        <f>C13*C$16</f>
        <v>664.65799918895971</v>
      </c>
      <c r="D20" s="316">
        <f t="shared" si="3"/>
        <v>329.73100398107113</v>
      </c>
      <c r="E20" s="316">
        <f t="shared" si="3"/>
        <v>51.794366126523862</v>
      </c>
      <c r="F20" s="316">
        <f t="shared" si="3"/>
        <v>55.748951908950588</v>
      </c>
      <c r="G20" s="316">
        <f t="shared" si="3"/>
        <v>72.552475718857892</v>
      </c>
      <c r="H20" s="316">
        <f t="shared" si="3"/>
        <v>59.618088589133897</v>
      </c>
      <c r="I20" s="317">
        <f t="shared" si="4"/>
        <v>1234.1028855134973</v>
      </c>
      <c r="J20" s="331">
        <f>I20/I13</f>
        <v>1.2357301505836426E-2</v>
      </c>
    </row>
    <row r="21" spans="1:11" x14ac:dyDescent="0.35">
      <c r="I21" s="318">
        <f>SUM(I18:I20)</f>
        <v>3770.1765057265566</v>
      </c>
      <c r="J21" s="332">
        <f>I21/I14</f>
        <v>1.2718419068213358E-2</v>
      </c>
      <c r="K21" s="292" t="s">
        <v>254</v>
      </c>
    </row>
    <row r="22" spans="1:11" x14ac:dyDescent="0.35">
      <c r="G22" s="302" t="s">
        <v>255</v>
      </c>
      <c r="H22" s="292">
        <v>365</v>
      </c>
      <c r="I22" s="333">
        <f>I21*H22</f>
        <v>1376114.4245901932</v>
      </c>
      <c r="K22" s="292" t="s">
        <v>256</v>
      </c>
    </row>
    <row r="23" spans="1:11" x14ac:dyDescent="0.35">
      <c r="G23" s="302"/>
      <c r="I23" s="334"/>
    </row>
    <row r="25" spans="1:11" x14ac:dyDescent="0.35">
      <c r="G25" s="335" t="s">
        <v>257</v>
      </c>
      <c r="H25" s="336">
        <v>1.4999999999999999E-2</v>
      </c>
    </row>
    <row r="26" spans="1:11" x14ac:dyDescent="0.35">
      <c r="H26" s="292">
        <v>2019</v>
      </c>
      <c r="I26" s="338">
        <f>I22</f>
        <v>1376114.4245901932</v>
      </c>
      <c r="J26" s="337"/>
    </row>
    <row r="27" spans="1:11" x14ac:dyDescent="0.35">
      <c r="H27" s="292">
        <f>H26+1</f>
        <v>2020</v>
      </c>
      <c r="I27" s="338">
        <f>I26*(1+$H$25)</f>
        <v>1396756.1409590458</v>
      </c>
      <c r="J27" s="337"/>
    </row>
    <row r="28" spans="1:11" x14ac:dyDescent="0.35">
      <c r="H28" s="292">
        <f t="shared" ref="H28:H53" si="5">H27+1</f>
        <v>2021</v>
      </c>
      <c r="I28" s="338">
        <f t="shared" ref="I28:I53" si="6">I27*(1+$H$25)</f>
        <v>1417707.4830734313</v>
      </c>
      <c r="J28" s="337"/>
    </row>
    <row r="29" spans="1:11" x14ac:dyDescent="0.35">
      <c r="H29" s="292">
        <f t="shared" si="5"/>
        <v>2022</v>
      </c>
      <c r="I29" s="338">
        <f t="shared" si="6"/>
        <v>1438973.0953195326</v>
      </c>
      <c r="J29" s="337"/>
    </row>
    <row r="30" spans="1:11" x14ac:dyDescent="0.35">
      <c r="A30" s="359" t="s">
        <v>264</v>
      </c>
      <c r="H30" s="292">
        <f t="shared" si="5"/>
        <v>2023</v>
      </c>
      <c r="I30" s="338">
        <f t="shared" si="6"/>
        <v>1460557.6917493255</v>
      </c>
      <c r="J30" s="337"/>
    </row>
    <row r="31" spans="1:11" x14ac:dyDescent="0.35">
      <c r="A31" s="360" t="s">
        <v>262</v>
      </c>
      <c r="H31" s="292">
        <f t="shared" si="5"/>
        <v>2024</v>
      </c>
      <c r="I31" s="338">
        <f t="shared" si="6"/>
        <v>1482466.0571255651</v>
      </c>
      <c r="J31" s="337"/>
    </row>
    <row r="32" spans="1:11" x14ac:dyDescent="0.35">
      <c r="A32" t="s">
        <v>258</v>
      </c>
      <c r="H32" s="292">
        <f t="shared" si="5"/>
        <v>2025</v>
      </c>
      <c r="I32" s="338">
        <f t="shared" si="6"/>
        <v>1504703.0479824485</v>
      </c>
      <c r="J32" s="337"/>
    </row>
    <row r="33" spans="1:10" x14ac:dyDescent="0.35">
      <c r="A33" t="s">
        <v>259</v>
      </c>
      <c r="H33" s="292">
        <f t="shared" si="5"/>
        <v>2026</v>
      </c>
      <c r="I33" s="338">
        <f t="shared" si="6"/>
        <v>1527273.593702185</v>
      </c>
      <c r="J33" s="337"/>
    </row>
    <row r="34" spans="1:10" x14ac:dyDescent="0.35">
      <c r="A34" t="s">
        <v>265</v>
      </c>
      <c r="H34" s="292">
        <f t="shared" si="5"/>
        <v>2027</v>
      </c>
      <c r="I34" s="338">
        <f t="shared" si="6"/>
        <v>1550182.6976077175</v>
      </c>
      <c r="J34" s="337"/>
    </row>
    <row r="35" spans="1:10" x14ac:dyDescent="0.35">
      <c r="H35" s="292">
        <f t="shared" si="5"/>
        <v>2028</v>
      </c>
      <c r="I35" s="338">
        <f t="shared" si="6"/>
        <v>1573435.438071833</v>
      </c>
      <c r="J35" s="337"/>
    </row>
    <row r="36" spans="1:10" x14ac:dyDescent="0.35">
      <c r="H36" s="292">
        <f t="shared" si="5"/>
        <v>2029</v>
      </c>
      <c r="I36" s="338">
        <f t="shared" si="6"/>
        <v>1597036.9696429104</v>
      </c>
      <c r="J36" s="337"/>
    </row>
    <row r="37" spans="1:10" x14ac:dyDescent="0.35">
      <c r="H37" s="292">
        <f t="shared" si="5"/>
        <v>2030</v>
      </c>
      <c r="I37" s="338">
        <f t="shared" si="6"/>
        <v>1620992.5241875539</v>
      </c>
      <c r="J37" s="337"/>
    </row>
    <row r="38" spans="1:10" x14ac:dyDescent="0.35">
      <c r="H38" s="292">
        <f t="shared" si="5"/>
        <v>2031</v>
      </c>
      <c r="I38" s="338">
        <f t="shared" si="6"/>
        <v>1645307.4120503671</v>
      </c>
      <c r="J38" s="337"/>
    </row>
    <row r="39" spans="1:10" x14ac:dyDescent="0.35">
      <c r="H39" s="292">
        <f t="shared" si="5"/>
        <v>2032</v>
      </c>
      <c r="I39" s="338">
        <f t="shared" si="6"/>
        <v>1669987.0232311224</v>
      </c>
      <c r="J39" s="337"/>
    </row>
    <row r="40" spans="1:10" x14ac:dyDescent="0.35">
      <c r="H40" s="292">
        <f t="shared" si="5"/>
        <v>2033</v>
      </c>
      <c r="I40" s="338">
        <f t="shared" si="6"/>
        <v>1695036.828579589</v>
      </c>
      <c r="J40" s="337"/>
    </row>
    <row r="41" spans="1:10" x14ac:dyDescent="0.35">
      <c r="H41" s="292">
        <f t="shared" si="5"/>
        <v>2034</v>
      </c>
      <c r="I41" s="338">
        <f t="shared" si="6"/>
        <v>1720462.3810082828</v>
      </c>
      <c r="J41" s="337"/>
    </row>
    <row r="42" spans="1:10" x14ac:dyDescent="0.35">
      <c r="H42" s="292">
        <f t="shared" si="5"/>
        <v>2035</v>
      </c>
      <c r="I42" s="338">
        <f t="shared" si="6"/>
        <v>1746269.3167234068</v>
      </c>
      <c r="J42" s="337"/>
    </row>
    <row r="43" spans="1:10" x14ac:dyDescent="0.35">
      <c r="H43" s="292">
        <f t="shared" si="5"/>
        <v>2036</v>
      </c>
      <c r="I43" s="338">
        <f t="shared" si="6"/>
        <v>1772463.3564742578</v>
      </c>
      <c r="J43" s="337"/>
    </row>
    <row r="44" spans="1:10" x14ac:dyDescent="0.35">
      <c r="H44" s="292">
        <f t="shared" si="5"/>
        <v>2037</v>
      </c>
      <c r="I44" s="338">
        <f t="shared" si="6"/>
        <v>1799050.3068213714</v>
      </c>
      <c r="J44" s="337"/>
    </row>
    <row r="45" spans="1:10" x14ac:dyDescent="0.35">
      <c r="H45" s="292">
        <f t="shared" si="5"/>
        <v>2038</v>
      </c>
      <c r="I45" s="338">
        <f t="shared" si="6"/>
        <v>1826036.0614236919</v>
      </c>
      <c r="J45" s="337"/>
    </row>
    <row r="46" spans="1:10" x14ac:dyDescent="0.35">
      <c r="H46" s="292">
        <f t="shared" si="5"/>
        <v>2039</v>
      </c>
      <c r="I46" s="338">
        <f t="shared" si="6"/>
        <v>1853426.6023450471</v>
      </c>
      <c r="J46" s="337"/>
    </row>
    <row r="47" spans="1:10" x14ac:dyDescent="0.35">
      <c r="H47" s="292">
        <f t="shared" si="5"/>
        <v>2040</v>
      </c>
      <c r="I47" s="338">
        <f t="shared" si="6"/>
        <v>1881228.0013802226</v>
      </c>
      <c r="J47" s="337"/>
    </row>
    <row r="48" spans="1:10" x14ac:dyDescent="0.35">
      <c r="H48" s="292">
        <f t="shared" si="5"/>
        <v>2041</v>
      </c>
      <c r="I48" s="338">
        <f t="shared" si="6"/>
        <v>1909446.4214009258</v>
      </c>
      <c r="J48" s="337"/>
    </row>
    <row r="49" spans="8:9" x14ac:dyDescent="0.35">
      <c r="H49" s="292">
        <f t="shared" si="5"/>
        <v>2042</v>
      </c>
      <c r="I49" s="338">
        <f t="shared" si="6"/>
        <v>1938088.1177219395</v>
      </c>
    </row>
    <row r="50" spans="8:9" x14ac:dyDescent="0.35">
      <c r="H50" s="292">
        <f t="shared" si="5"/>
        <v>2043</v>
      </c>
      <c r="I50" s="338">
        <f t="shared" si="6"/>
        <v>1967159.4394877683</v>
      </c>
    </row>
    <row r="51" spans="8:9" x14ac:dyDescent="0.35">
      <c r="H51" s="292">
        <f t="shared" si="5"/>
        <v>2044</v>
      </c>
      <c r="I51" s="338">
        <f t="shared" si="6"/>
        <v>1996666.8310800847</v>
      </c>
    </row>
    <row r="52" spans="8:9" x14ac:dyDescent="0.35">
      <c r="H52" s="292">
        <f t="shared" si="5"/>
        <v>2045</v>
      </c>
      <c r="I52" s="338">
        <f t="shared" si="6"/>
        <v>2026616.8335462858</v>
      </c>
    </row>
    <row r="53" spans="8:9" x14ac:dyDescent="0.35">
      <c r="H53" s="292">
        <f t="shared" si="5"/>
        <v>2046</v>
      </c>
      <c r="I53" s="338">
        <f t="shared" si="6"/>
        <v>2057016.0860494799</v>
      </c>
    </row>
  </sheetData>
  <mergeCells count="4">
    <mergeCell ref="C1:I1"/>
    <mergeCell ref="A3:A5"/>
    <mergeCell ref="A11:A13"/>
    <mergeCell ref="A18:A2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6F332-459D-4F73-8E00-CEFAF4847797}">
  <sheetPr>
    <tabColor theme="9" tint="0.79998168889431442"/>
  </sheetPr>
  <dimension ref="A1:O41"/>
  <sheetViews>
    <sheetView workbookViewId="0"/>
  </sheetViews>
  <sheetFormatPr defaultRowHeight="13.5" x14ac:dyDescent="0.3"/>
  <cols>
    <col min="1" max="1" width="33.4609375" customWidth="1"/>
    <col min="2" max="2" width="13.4609375" customWidth="1"/>
    <col min="4" max="4" width="11.23046875" bestFit="1" customWidth="1"/>
    <col min="5" max="5" width="10.765625" customWidth="1"/>
    <col min="6" max="6" width="10.84375" bestFit="1" customWidth="1"/>
    <col min="7" max="7" width="13.23046875" bestFit="1" customWidth="1"/>
    <col min="8" max="8" width="10.921875" bestFit="1" customWidth="1"/>
    <col min="9" max="9" width="10.921875" customWidth="1"/>
    <col min="11" max="11" width="11.3046875" bestFit="1" customWidth="1"/>
    <col min="12" max="12" width="10.921875" bestFit="1" customWidth="1"/>
    <col min="13" max="13" width="12.3046875" bestFit="1" customWidth="1"/>
    <col min="14" max="14" width="11.3046875" bestFit="1" customWidth="1"/>
    <col min="15" max="15" width="13.921875" bestFit="1" customWidth="1"/>
  </cols>
  <sheetData>
    <row r="1" spans="1:15" ht="46.5" x14ac:dyDescent="0.3">
      <c r="A1" s="286" t="s">
        <v>194</v>
      </c>
      <c r="B1" s="286" t="s">
        <v>197</v>
      </c>
      <c r="E1" s="286" t="s">
        <v>198</v>
      </c>
      <c r="F1" s="286" t="s">
        <v>199</v>
      </c>
    </row>
    <row r="2" spans="1:15" ht="15.5" x14ac:dyDescent="0.3">
      <c r="A2" s="284" t="s">
        <v>189</v>
      </c>
      <c r="B2" s="285">
        <v>0.4</v>
      </c>
      <c r="E2" s="288" t="s">
        <v>72</v>
      </c>
      <c r="F2" s="287">
        <v>6.8999999999999996E-7</v>
      </c>
    </row>
    <row r="3" spans="1:15" ht="15.5" x14ac:dyDescent="0.3">
      <c r="A3" s="284" t="s">
        <v>190</v>
      </c>
      <c r="B3" s="285">
        <v>0.09</v>
      </c>
      <c r="E3" s="287" t="s">
        <v>71</v>
      </c>
      <c r="F3" s="287">
        <v>4.2046999999999999E-4</v>
      </c>
    </row>
    <row r="4" spans="1:15" ht="15.5" x14ac:dyDescent="0.3">
      <c r="A4" s="284" t="s">
        <v>191</v>
      </c>
      <c r="B4" s="285">
        <v>0.15</v>
      </c>
      <c r="F4" s="26"/>
    </row>
    <row r="5" spans="1:15" ht="15.5" x14ac:dyDescent="0.3">
      <c r="A5" s="284" t="s">
        <v>192</v>
      </c>
      <c r="B5" s="285">
        <v>0.17</v>
      </c>
    </row>
    <row r="6" spans="1:15" ht="15.5" x14ac:dyDescent="0.3">
      <c r="A6" s="284" t="s">
        <v>193</v>
      </c>
      <c r="B6" s="285">
        <v>0.81</v>
      </c>
    </row>
    <row r="7" spans="1:15" ht="15.5" x14ac:dyDescent="0.3">
      <c r="A7" s="284" t="s">
        <v>196</v>
      </c>
      <c r="B7" s="285">
        <f>B6-B5</f>
        <v>0.64</v>
      </c>
    </row>
    <row r="8" spans="1:15" ht="15.5" x14ac:dyDescent="0.3">
      <c r="A8" s="283" t="s">
        <v>195</v>
      </c>
    </row>
    <row r="10" spans="1:15" ht="15.5" x14ac:dyDescent="0.3">
      <c r="A10" s="339" t="s">
        <v>261</v>
      </c>
    </row>
    <row r="12" spans="1:15" ht="54" x14ac:dyDescent="0.3">
      <c r="B12" s="19" t="s">
        <v>0</v>
      </c>
      <c r="C12" s="43" t="s">
        <v>5</v>
      </c>
      <c r="D12" s="43" t="s">
        <v>260</v>
      </c>
      <c r="E12" s="43" t="s">
        <v>200</v>
      </c>
      <c r="F12" s="43" t="s">
        <v>201</v>
      </c>
      <c r="G12" s="43" t="s">
        <v>202</v>
      </c>
      <c r="H12" s="43" t="s">
        <v>86</v>
      </c>
      <c r="I12" s="43" t="s">
        <v>27</v>
      </c>
      <c r="J12" s="42" t="s">
        <v>98</v>
      </c>
      <c r="K12" s="43" t="s">
        <v>59</v>
      </c>
      <c r="L12" s="176" t="s">
        <v>203</v>
      </c>
      <c r="M12" s="176" t="s">
        <v>204</v>
      </c>
      <c r="N12" s="176" t="s">
        <v>205</v>
      </c>
      <c r="O12" s="176" t="s">
        <v>206</v>
      </c>
    </row>
    <row r="13" spans="1:15" ht="14.5" x14ac:dyDescent="0.35">
      <c r="B13" s="18">
        <v>2019</v>
      </c>
      <c r="C13" s="5">
        <v>0</v>
      </c>
      <c r="D13" s="289">
        <f>'StreetLight Insight 2019'!I26</f>
        <v>1376114.4245901932</v>
      </c>
      <c r="H13" s="6"/>
    </row>
    <row r="14" spans="1:15" ht="14.5" x14ac:dyDescent="0.35">
      <c r="B14" s="18">
        <f>B13+1</f>
        <v>2020</v>
      </c>
      <c r="C14" s="5">
        <v>1</v>
      </c>
      <c r="D14" s="289">
        <f>'StreetLight Insight 2019'!I27</f>
        <v>1396756.1409590458</v>
      </c>
      <c r="H14" s="6">
        <f>'Monitized Values'!D33</f>
        <v>15700</v>
      </c>
      <c r="J14">
        <f>'Monitized Values'!G33</f>
        <v>50</v>
      </c>
    </row>
    <row r="15" spans="1:15" ht="14.5" x14ac:dyDescent="0.35">
      <c r="B15" s="18">
        <f t="shared" ref="B15:B40" si="0">B14+1</f>
        <v>2021</v>
      </c>
      <c r="C15" s="5">
        <v>2</v>
      </c>
      <c r="D15" s="289">
        <f>'StreetLight Insight 2019'!I28</f>
        <v>1417707.4830734313</v>
      </c>
      <c r="H15" s="6">
        <f>'Monitized Values'!D34</f>
        <v>15900</v>
      </c>
      <c r="J15">
        <f>'Monitized Values'!G34</f>
        <v>52</v>
      </c>
    </row>
    <row r="16" spans="1:15" ht="14.5" x14ac:dyDescent="0.35">
      <c r="B16" s="18">
        <f t="shared" si="0"/>
        <v>2022</v>
      </c>
      <c r="C16" s="5">
        <v>3</v>
      </c>
      <c r="D16" s="289">
        <f>'StreetLight Insight 2019'!I29</f>
        <v>1438973.0953195326</v>
      </c>
      <c r="H16" s="6">
        <f>'Monitized Values'!D35</f>
        <v>16100</v>
      </c>
      <c r="J16">
        <f>'Monitized Values'!G35</f>
        <v>53</v>
      </c>
    </row>
    <row r="17" spans="2:15" ht="14.5" x14ac:dyDescent="0.35">
      <c r="B17" s="18">
        <f t="shared" si="0"/>
        <v>2023</v>
      </c>
      <c r="C17" s="5">
        <v>4</v>
      </c>
      <c r="D17" s="289">
        <f>'StreetLight Insight 2019'!I30</f>
        <v>1460557.6917493255</v>
      </c>
      <c r="H17" s="6">
        <f>'Monitized Values'!D36</f>
        <v>16400</v>
      </c>
      <c r="J17">
        <f>'Monitized Values'!G36</f>
        <v>54</v>
      </c>
    </row>
    <row r="18" spans="2:15" ht="14.5" x14ac:dyDescent="0.35">
      <c r="B18" s="18">
        <f t="shared" si="0"/>
        <v>2024</v>
      </c>
      <c r="C18" s="5">
        <v>5</v>
      </c>
      <c r="D18" s="289">
        <f>'StreetLight Insight 2019'!I31</f>
        <v>1482466.0571255651</v>
      </c>
      <c r="H18" s="6">
        <f>'Monitized Values'!D37</f>
        <v>16600</v>
      </c>
      <c r="J18">
        <f>'Monitized Values'!G37</f>
        <v>55</v>
      </c>
    </row>
    <row r="19" spans="2:15" ht="14.5" x14ac:dyDescent="0.35">
      <c r="B19" s="18">
        <f t="shared" si="0"/>
        <v>2025</v>
      </c>
      <c r="C19" s="5">
        <v>6</v>
      </c>
      <c r="D19" s="289">
        <f>'StreetLight Insight 2019'!I32</f>
        <v>1504703.0479824485</v>
      </c>
      <c r="H19" s="6">
        <f>'Monitized Values'!D38</f>
        <v>16800</v>
      </c>
      <c r="J19">
        <f>'Monitized Values'!G38</f>
        <v>56</v>
      </c>
    </row>
    <row r="20" spans="2:15" ht="14.5" x14ac:dyDescent="0.35">
      <c r="B20" s="18">
        <f t="shared" si="0"/>
        <v>2026</v>
      </c>
      <c r="C20" s="5">
        <v>7</v>
      </c>
      <c r="D20" s="289">
        <f>'StreetLight Insight 2019'!I33</f>
        <v>1527273.593702185</v>
      </c>
      <c r="E20">
        <f>D20*$F$2</f>
        <v>1.0538187796545075</v>
      </c>
      <c r="F20">
        <f>D20*$F$3</f>
        <v>642.17272794395774</v>
      </c>
      <c r="G20" s="181">
        <f>D20*$B$7</f>
        <v>977455.09996939835</v>
      </c>
      <c r="H20" s="6">
        <f>'Monitized Values'!D39</f>
        <v>17000</v>
      </c>
      <c r="I20" s="70">
        <f>E20*H20</f>
        <v>17914.919254126627</v>
      </c>
      <c r="J20">
        <f>'Monitized Values'!G39</f>
        <v>57</v>
      </c>
      <c r="K20" s="173">
        <f>J20*F20</f>
        <v>36603.845492805594</v>
      </c>
      <c r="L20" s="70">
        <f>I20+G20</f>
        <v>995370.01922352496</v>
      </c>
      <c r="M20" s="173">
        <f>L20/(1.07^C20)</f>
        <v>619866.42255111062</v>
      </c>
      <c r="N20" s="173">
        <f>K20/(1.03^C20)</f>
        <v>29762.276052723908</v>
      </c>
      <c r="O20" s="174">
        <f>N20+M20</f>
        <v>649628.69860383449</v>
      </c>
    </row>
    <row r="21" spans="2:15" ht="14.5" x14ac:dyDescent="0.35">
      <c r="B21" s="18">
        <f t="shared" si="0"/>
        <v>2027</v>
      </c>
      <c r="C21" s="5">
        <v>8</v>
      </c>
      <c r="D21" s="289">
        <f>'StreetLight Insight 2019'!I34</f>
        <v>1550182.6976077175</v>
      </c>
      <c r="E21">
        <f t="shared" ref="E21:E40" si="1">D21*$F$2</f>
        <v>1.0696260613493249</v>
      </c>
      <c r="F21">
        <f t="shared" ref="F21:F40" si="2">D21*$F$3</f>
        <v>651.80531886311701</v>
      </c>
      <c r="G21" s="181">
        <f t="shared" ref="G21:G40" si="3">D21*$B$7</f>
        <v>992116.92646893917</v>
      </c>
      <c r="H21" s="6">
        <f>'Monitized Values'!D40</f>
        <v>17300</v>
      </c>
      <c r="I21" s="70">
        <f t="shared" ref="I21:I40" si="4">E21*H21</f>
        <v>18504.530861343323</v>
      </c>
      <c r="J21">
        <f>'Monitized Values'!G40</f>
        <v>58</v>
      </c>
      <c r="K21" s="173">
        <f t="shared" ref="K21:K40" si="5">J21*F21</f>
        <v>37804.708494060789</v>
      </c>
      <c r="L21" s="70">
        <f t="shared" ref="L21:L40" si="6">I21+G21</f>
        <v>1010621.4573302825</v>
      </c>
      <c r="M21" s="173">
        <f t="shared" ref="M21:M40" si="7">L21/(1.07^C21)</f>
        <v>588190.88943501189</v>
      </c>
      <c r="N21" s="173">
        <f t="shared" ref="N21:N40" si="8">K21/(1.03^C21)</f>
        <v>29843.385985758072</v>
      </c>
      <c r="O21" s="174">
        <f t="shared" ref="O21:O40" si="9">N21+M21</f>
        <v>618034.27542076993</v>
      </c>
    </row>
    <row r="22" spans="2:15" ht="14.5" x14ac:dyDescent="0.35">
      <c r="B22" s="18">
        <f t="shared" si="0"/>
        <v>2028</v>
      </c>
      <c r="C22" s="5">
        <v>9</v>
      </c>
      <c r="D22" s="289">
        <f>'StreetLight Insight 2019'!I35</f>
        <v>1573435.438071833</v>
      </c>
      <c r="E22">
        <f t="shared" si="1"/>
        <v>1.0856704522695646</v>
      </c>
      <c r="F22">
        <f t="shared" si="2"/>
        <v>661.58239864606355</v>
      </c>
      <c r="G22" s="181">
        <f t="shared" si="3"/>
        <v>1006998.6803659732</v>
      </c>
      <c r="H22" s="6">
        <f>'Monitized Values'!D41</f>
        <v>17500</v>
      </c>
      <c r="I22" s="70">
        <f t="shared" si="4"/>
        <v>18999.23291471738</v>
      </c>
      <c r="J22">
        <f>'Monitized Values'!G41</f>
        <v>59</v>
      </c>
      <c r="K22" s="173">
        <f t="shared" si="5"/>
        <v>39033.361520117753</v>
      </c>
      <c r="L22" s="70">
        <f t="shared" si="6"/>
        <v>1025997.9132806906</v>
      </c>
      <c r="M22" s="173">
        <f t="shared" si="7"/>
        <v>558074.88485429215</v>
      </c>
      <c r="N22" s="173">
        <f t="shared" si="8"/>
        <v>29915.821388636115</v>
      </c>
      <c r="O22" s="174">
        <f t="shared" si="9"/>
        <v>587990.70624292828</v>
      </c>
    </row>
    <row r="23" spans="2:15" ht="14.5" x14ac:dyDescent="0.35">
      <c r="B23" s="18">
        <f t="shared" si="0"/>
        <v>2029</v>
      </c>
      <c r="C23" s="5">
        <v>10</v>
      </c>
      <c r="D23" s="289">
        <f>'StreetLight Insight 2019'!I36</f>
        <v>1597036.9696429104</v>
      </c>
      <c r="E23">
        <f t="shared" si="1"/>
        <v>1.1019555090536082</v>
      </c>
      <c r="F23">
        <f t="shared" si="2"/>
        <v>671.5061346257545</v>
      </c>
      <c r="G23" s="181">
        <f t="shared" si="3"/>
        <v>1022103.6605714627</v>
      </c>
      <c r="H23" s="6">
        <f>'Monitized Values'!D42</f>
        <v>17700</v>
      </c>
      <c r="I23" s="70">
        <f t="shared" si="4"/>
        <v>19504.612510248866</v>
      </c>
      <c r="J23">
        <f>'Monitized Values'!G42</f>
        <v>60</v>
      </c>
      <c r="K23" s="173">
        <f t="shared" si="5"/>
        <v>40290.368077545267</v>
      </c>
      <c r="L23" s="70">
        <f t="shared" si="6"/>
        <v>1041608.2730817116</v>
      </c>
      <c r="M23" s="173">
        <f t="shared" si="7"/>
        <v>529500.82830275397</v>
      </c>
      <c r="N23" s="173">
        <f t="shared" si="8"/>
        <v>29979.817715450699</v>
      </c>
      <c r="O23" s="174">
        <f t="shared" si="9"/>
        <v>559480.64601820463</v>
      </c>
    </row>
    <row r="24" spans="2:15" ht="14.5" x14ac:dyDescent="0.35">
      <c r="B24" s="18">
        <f t="shared" si="0"/>
        <v>2030</v>
      </c>
      <c r="C24" s="5">
        <v>11</v>
      </c>
      <c r="D24" s="289">
        <f>'StreetLight Insight 2019'!I37</f>
        <v>1620992.5241875539</v>
      </c>
      <c r="E24">
        <f t="shared" si="1"/>
        <v>1.1184848416894122</v>
      </c>
      <c r="F24">
        <f t="shared" si="2"/>
        <v>681.57872664514082</v>
      </c>
      <c r="G24" s="181">
        <f t="shared" si="3"/>
        <v>1037435.2154800345</v>
      </c>
      <c r="H24" s="6">
        <f>'Monitized Values'!D43</f>
        <v>18000</v>
      </c>
      <c r="I24" s="70">
        <f t="shared" si="4"/>
        <v>20132.727150409421</v>
      </c>
      <c r="J24">
        <f>'Monitized Values'!G43</f>
        <v>61</v>
      </c>
      <c r="K24" s="173">
        <f t="shared" si="5"/>
        <v>41576.302325353587</v>
      </c>
      <c r="L24" s="70">
        <f t="shared" si="6"/>
        <v>1057567.942630444</v>
      </c>
      <c r="M24" s="173">
        <f t="shared" si="7"/>
        <v>502442.91123416444</v>
      </c>
      <c r="N24" s="173">
        <f t="shared" si="8"/>
        <v>30035.605402138026</v>
      </c>
      <c r="O24" s="174">
        <f t="shared" si="9"/>
        <v>532478.51663630246</v>
      </c>
    </row>
    <row r="25" spans="2:15" ht="14.5" x14ac:dyDescent="0.35">
      <c r="B25" s="18">
        <f t="shared" si="0"/>
        <v>2031</v>
      </c>
      <c r="C25" s="5">
        <v>12</v>
      </c>
      <c r="D25" s="289">
        <f>'StreetLight Insight 2019'!I38</f>
        <v>1645307.4120503671</v>
      </c>
      <c r="E25">
        <f t="shared" si="1"/>
        <v>1.1352621143147532</v>
      </c>
      <c r="F25">
        <f t="shared" si="2"/>
        <v>691.80240754481781</v>
      </c>
      <c r="G25" s="181">
        <f t="shared" si="3"/>
        <v>1052996.743712235</v>
      </c>
      <c r="H25" s="6">
        <f>'Monitized Values'!D44</f>
        <v>18000</v>
      </c>
      <c r="I25" s="70">
        <f t="shared" si="4"/>
        <v>20434.718057665559</v>
      </c>
      <c r="J25">
        <f>'Monitized Values'!G44</f>
        <v>62</v>
      </c>
      <c r="K25" s="173">
        <f t="shared" si="5"/>
        <v>42891.749267778701</v>
      </c>
      <c r="L25" s="70">
        <f t="shared" si="6"/>
        <v>1073431.4617699005</v>
      </c>
      <c r="M25" s="173">
        <f t="shared" si="7"/>
        <v>476616.40645109996</v>
      </c>
      <c r="N25" s="173">
        <f t="shared" si="8"/>
        <v>30083.409962701673</v>
      </c>
      <c r="O25" s="174">
        <f t="shared" si="9"/>
        <v>506699.81641380163</v>
      </c>
    </row>
    <row r="26" spans="2:15" ht="14.5" x14ac:dyDescent="0.35">
      <c r="B26" s="18">
        <f t="shared" si="0"/>
        <v>2032</v>
      </c>
      <c r="C26" s="5">
        <v>13</v>
      </c>
      <c r="D26" s="289">
        <f>'StreetLight Insight 2019'!I39</f>
        <v>1669987.0232311224</v>
      </c>
      <c r="E26">
        <f t="shared" si="1"/>
        <v>1.1522910460294744</v>
      </c>
      <c r="F26">
        <f t="shared" si="2"/>
        <v>702.17944365799008</v>
      </c>
      <c r="G26" s="181">
        <f t="shared" si="3"/>
        <v>1068791.6948679183</v>
      </c>
      <c r="H26" s="6">
        <f>'Monitized Values'!D45</f>
        <v>18000</v>
      </c>
      <c r="I26" s="70">
        <f t="shared" si="4"/>
        <v>20741.238828530539</v>
      </c>
      <c r="J26">
        <f>'Monitized Values'!G45</f>
        <v>63</v>
      </c>
      <c r="K26" s="173">
        <f t="shared" si="5"/>
        <v>44237.304950453377</v>
      </c>
      <c r="L26" s="70">
        <f t="shared" si="6"/>
        <v>1089532.9336964488</v>
      </c>
      <c r="M26" s="173">
        <f t="shared" si="7"/>
        <v>452117.43228772556</v>
      </c>
      <c r="N26" s="173">
        <f t="shared" si="8"/>
        <v>30123.45208369807</v>
      </c>
      <c r="O26" s="174">
        <f t="shared" si="9"/>
        <v>482240.88437142363</v>
      </c>
    </row>
    <row r="27" spans="2:15" ht="14.5" x14ac:dyDescent="0.35">
      <c r="B27" s="18">
        <f t="shared" si="0"/>
        <v>2033</v>
      </c>
      <c r="C27" s="5">
        <v>14</v>
      </c>
      <c r="D27" s="289">
        <f>'StreetLight Insight 2019'!I40</f>
        <v>1695036.828579589</v>
      </c>
      <c r="E27">
        <f t="shared" si="1"/>
        <v>1.1695754117199164</v>
      </c>
      <c r="F27">
        <f t="shared" si="2"/>
        <v>712.7121353128598</v>
      </c>
      <c r="G27" s="181">
        <f t="shared" si="3"/>
        <v>1084823.5702909371</v>
      </c>
      <c r="H27" s="6">
        <f>'Monitized Values'!D46</f>
        <v>18000</v>
      </c>
      <c r="I27" s="70">
        <f t="shared" si="4"/>
        <v>21052.357410958495</v>
      </c>
      <c r="J27">
        <f>'Monitized Values'!G46</f>
        <v>64</v>
      </c>
      <c r="K27" s="173">
        <f t="shared" si="5"/>
        <v>45613.576660023027</v>
      </c>
      <c r="L27" s="70">
        <f t="shared" si="6"/>
        <v>1105875.9277018956</v>
      </c>
      <c r="M27" s="173">
        <f t="shared" si="7"/>
        <v>428877.75118882378</v>
      </c>
      <c r="N27" s="173">
        <f t="shared" si="8"/>
        <v>30155.947717013805</v>
      </c>
      <c r="O27" s="174">
        <f t="shared" si="9"/>
        <v>459033.69890583761</v>
      </c>
    </row>
    <row r="28" spans="2:15" ht="14.5" x14ac:dyDescent="0.35">
      <c r="B28" s="18">
        <f t="shared" si="0"/>
        <v>2034</v>
      </c>
      <c r="C28" s="5">
        <v>15</v>
      </c>
      <c r="D28" s="289">
        <f>'StreetLight Insight 2019'!I41</f>
        <v>1720462.3810082828</v>
      </c>
      <c r="E28">
        <f t="shared" si="1"/>
        <v>1.187119042895715</v>
      </c>
      <c r="F28">
        <f t="shared" si="2"/>
        <v>723.40281734255268</v>
      </c>
      <c r="G28" s="181">
        <f t="shared" si="3"/>
        <v>1101095.9238453009</v>
      </c>
      <c r="H28" s="6">
        <f>'Monitized Values'!D47</f>
        <v>18000</v>
      </c>
      <c r="I28" s="70">
        <f t="shared" si="4"/>
        <v>21368.142772122872</v>
      </c>
      <c r="J28">
        <f>'Monitized Values'!G47</f>
        <v>66</v>
      </c>
      <c r="K28" s="173">
        <f t="shared" si="5"/>
        <v>47744.58594460848</v>
      </c>
      <c r="L28" s="70">
        <f t="shared" si="6"/>
        <v>1122464.0666174239</v>
      </c>
      <c r="M28" s="173">
        <f t="shared" si="7"/>
        <v>406832.63313706173</v>
      </c>
      <c r="N28" s="173">
        <f t="shared" si="8"/>
        <v>30645.432912056353</v>
      </c>
      <c r="O28" s="174">
        <f t="shared" si="9"/>
        <v>437478.06604911806</v>
      </c>
    </row>
    <row r="29" spans="2:15" ht="14.5" x14ac:dyDescent="0.35">
      <c r="B29" s="18">
        <f t="shared" si="0"/>
        <v>2035</v>
      </c>
      <c r="C29" s="5">
        <v>16</v>
      </c>
      <c r="D29" s="289">
        <f>'StreetLight Insight 2019'!I42</f>
        <v>1746269.3167234068</v>
      </c>
      <c r="E29">
        <f t="shared" si="1"/>
        <v>1.2049258285391506</v>
      </c>
      <c r="F29">
        <f t="shared" si="2"/>
        <v>734.2538596026908</v>
      </c>
      <c r="G29" s="181">
        <f t="shared" si="3"/>
        <v>1117612.3627029804</v>
      </c>
      <c r="H29" s="6">
        <f>'Monitized Values'!D48</f>
        <v>18000</v>
      </c>
      <c r="I29" s="70">
        <f t="shared" si="4"/>
        <v>21688.664913704713</v>
      </c>
      <c r="J29">
        <f>'Monitized Values'!G48</f>
        <v>67</v>
      </c>
      <c r="K29" s="173">
        <f t="shared" si="5"/>
        <v>49195.008593380284</v>
      </c>
      <c r="L29" s="70">
        <f t="shared" si="6"/>
        <v>1139301.027616685</v>
      </c>
      <c r="M29" s="173">
        <f t="shared" si="7"/>
        <v>385920.67535898846</v>
      </c>
      <c r="N29" s="173">
        <f t="shared" si="8"/>
        <v>30656.702930044015</v>
      </c>
      <c r="O29" s="174">
        <f t="shared" si="9"/>
        <v>416577.37828903249</v>
      </c>
    </row>
    <row r="30" spans="2:15" ht="14.5" x14ac:dyDescent="0.35">
      <c r="B30" s="18">
        <f t="shared" si="0"/>
        <v>2036</v>
      </c>
      <c r="C30" s="5">
        <v>17</v>
      </c>
      <c r="D30" s="289">
        <f>'StreetLight Insight 2019'!I43</f>
        <v>1772463.3564742578</v>
      </c>
      <c r="E30">
        <f t="shared" si="1"/>
        <v>1.2229997159672379</v>
      </c>
      <c r="F30">
        <f t="shared" si="2"/>
        <v>745.26766749673118</v>
      </c>
      <c r="G30" s="181">
        <f t="shared" si="3"/>
        <v>1134376.5481435249</v>
      </c>
      <c r="H30" s="6">
        <f>'Monitized Values'!D49</f>
        <v>18000</v>
      </c>
      <c r="I30" s="70">
        <f t="shared" si="4"/>
        <v>22013.994887410281</v>
      </c>
      <c r="J30">
        <f>'Monitized Values'!G49</f>
        <v>68</v>
      </c>
      <c r="K30" s="173">
        <f t="shared" si="5"/>
        <v>50678.201389777721</v>
      </c>
      <c r="L30" s="70">
        <f t="shared" si="6"/>
        <v>1156390.5430309351</v>
      </c>
      <c r="M30" s="173">
        <f t="shared" si="7"/>
        <v>366083.63129847962</v>
      </c>
      <c r="N30" s="173">
        <f t="shared" si="8"/>
        <v>30661.145286648862</v>
      </c>
      <c r="O30" s="174">
        <f t="shared" si="9"/>
        <v>396744.77658512851</v>
      </c>
    </row>
    <row r="31" spans="2:15" ht="14.5" x14ac:dyDescent="0.35">
      <c r="B31" s="18">
        <f t="shared" si="0"/>
        <v>2037</v>
      </c>
      <c r="C31" s="5">
        <v>18</v>
      </c>
      <c r="D31" s="289">
        <f>'StreetLight Insight 2019'!I44</f>
        <v>1799050.3068213714</v>
      </c>
      <c r="E31">
        <f t="shared" si="1"/>
        <v>1.2413447117067462</v>
      </c>
      <c r="F31">
        <f t="shared" si="2"/>
        <v>756.44668250918198</v>
      </c>
      <c r="G31" s="181">
        <f t="shared" si="3"/>
        <v>1151392.1963656778</v>
      </c>
      <c r="H31" s="6">
        <f>'Monitized Values'!D50</f>
        <v>18000</v>
      </c>
      <c r="I31" s="70">
        <f t="shared" si="4"/>
        <v>22344.204810721432</v>
      </c>
      <c r="J31">
        <f>'Monitized Values'!G50</f>
        <v>69</v>
      </c>
      <c r="K31" s="173">
        <f t="shared" si="5"/>
        <v>52194.821093133556</v>
      </c>
      <c r="L31" s="70">
        <f t="shared" si="6"/>
        <v>1173736.4011763991</v>
      </c>
      <c r="M31" s="173">
        <f t="shared" si="7"/>
        <v>347266.24838126806</v>
      </c>
      <c r="N31" s="173">
        <f t="shared" si="8"/>
        <v>30658.956455603264</v>
      </c>
      <c r="O31" s="174">
        <f t="shared" si="9"/>
        <v>377925.2048368713</v>
      </c>
    </row>
    <row r="32" spans="2:15" ht="14.5" x14ac:dyDescent="0.35">
      <c r="B32" s="18">
        <f t="shared" si="0"/>
        <v>2038</v>
      </c>
      <c r="C32" s="5">
        <v>19</v>
      </c>
      <c r="D32" s="289">
        <f>'StreetLight Insight 2019'!I45</f>
        <v>1826036.0614236919</v>
      </c>
      <c r="E32">
        <f t="shared" si="1"/>
        <v>1.2599648823823473</v>
      </c>
      <c r="F32">
        <f t="shared" si="2"/>
        <v>767.7933827468197</v>
      </c>
      <c r="G32" s="181">
        <f t="shared" si="3"/>
        <v>1168663.0793111629</v>
      </c>
      <c r="H32" s="6">
        <f>'Monitized Values'!D51</f>
        <v>18000</v>
      </c>
      <c r="I32" s="70">
        <f t="shared" si="4"/>
        <v>22679.367882882252</v>
      </c>
      <c r="J32">
        <f>'Monitized Values'!G51</f>
        <v>70</v>
      </c>
      <c r="K32" s="173">
        <f t="shared" si="5"/>
        <v>53745.53679227738</v>
      </c>
      <c r="L32" s="70">
        <f t="shared" si="6"/>
        <v>1191342.4471940452</v>
      </c>
      <c r="M32" s="173">
        <f t="shared" si="7"/>
        <v>329416.11411867948</v>
      </c>
      <c r="N32" s="173">
        <f t="shared" si="8"/>
        <v>30650.328636142</v>
      </c>
      <c r="O32" s="174">
        <f t="shared" si="9"/>
        <v>360066.4427548215</v>
      </c>
    </row>
    <row r="33" spans="2:15" ht="14.5" x14ac:dyDescent="0.35">
      <c r="B33" s="18">
        <f t="shared" si="0"/>
        <v>2039</v>
      </c>
      <c r="C33" s="5">
        <v>20</v>
      </c>
      <c r="D33" s="289">
        <f>'StreetLight Insight 2019'!I46</f>
        <v>1853426.6023450471</v>
      </c>
      <c r="E33">
        <f t="shared" si="1"/>
        <v>1.2788643556180823</v>
      </c>
      <c r="F33">
        <f t="shared" si="2"/>
        <v>779.31028348802192</v>
      </c>
      <c r="G33" s="181">
        <f t="shared" si="3"/>
        <v>1186193.02550083</v>
      </c>
      <c r="H33" s="6">
        <f>'Monitized Values'!D52</f>
        <v>18000</v>
      </c>
      <c r="I33" s="70">
        <f t="shared" si="4"/>
        <v>23019.558401125483</v>
      </c>
      <c r="J33">
        <f>'Monitized Values'!G52</f>
        <v>71</v>
      </c>
      <c r="K33" s="173">
        <f t="shared" si="5"/>
        <v>55331.030127649559</v>
      </c>
      <c r="L33" s="70">
        <f t="shared" si="6"/>
        <v>1209212.5839019555</v>
      </c>
      <c r="M33" s="173">
        <f t="shared" si="7"/>
        <v>312483.51012192486</v>
      </c>
      <c r="N33" s="173">
        <f t="shared" si="8"/>
        <v>30635.449835833191</v>
      </c>
      <c r="O33" s="174">
        <f t="shared" si="9"/>
        <v>343118.95995775808</v>
      </c>
    </row>
    <row r="34" spans="2:15" ht="14.5" x14ac:dyDescent="0.35">
      <c r="B34" s="18">
        <f t="shared" si="0"/>
        <v>2040</v>
      </c>
      <c r="C34" s="5">
        <v>21</v>
      </c>
      <c r="D34" s="289">
        <f>'StreetLight Insight 2019'!I47</f>
        <v>1881228.0013802226</v>
      </c>
      <c r="E34">
        <f t="shared" si="1"/>
        <v>1.2980473209523535</v>
      </c>
      <c r="F34">
        <f t="shared" si="2"/>
        <v>790.99993774034215</v>
      </c>
      <c r="G34" s="181">
        <f t="shared" si="3"/>
        <v>1203985.9208833424</v>
      </c>
      <c r="H34" s="6">
        <f>'Monitized Values'!D53</f>
        <v>18000</v>
      </c>
      <c r="I34" s="70">
        <f t="shared" si="4"/>
        <v>23364.851777142365</v>
      </c>
      <c r="J34">
        <f>'Monitized Values'!G53</f>
        <v>72</v>
      </c>
      <c r="K34" s="173">
        <f t="shared" si="5"/>
        <v>56951.995517304633</v>
      </c>
      <c r="L34" s="70">
        <f t="shared" si="6"/>
        <v>1227350.7726604848</v>
      </c>
      <c r="M34" s="173">
        <f t="shared" si="7"/>
        <v>296421.27362033055</v>
      </c>
      <c r="N34" s="173">
        <f t="shared" si="8"/>
        <v>30614.503951903316</v>
      </c>
      <c r="O34" s="174">
        <f t="shared" si="9"/>
        <v>327035.77757223387</v>
      </c>
    </row>
    <row r="35" spans="2:15" ht="14.5" x14ac:dyDescent="0.35">
      <c r="B35" s="18">
        <f t="shared" si="0"/>
        <v>2041</v>
      </c>
      <c r="C35" s="5">
        <v>22</v>
      </c>
      <c r="D35" s="289">
        <f>'StreetLight Insight 2019'!I48</f>
        <v>1909446.4214009258</v>
      </c>
      <c r="E35">
        <f t="shared" si="1"/>
        <v>1.3175180307666388</v>
      </c>
      <c r="F35">
        <f t="shared" si="2"/>
        <v>802.8649368064473</v>
      </c>
      <c r="G35" s="181">
        <f t="shared" si="3"/>
        <v>1222045.7096965925</v>
      </c>
      <c r="H35" s="6">
        <f>'Monitized Values'!D54</f>
        <v>18000</v>
      </c>
      <c r="I35" s="70">
        <f t="shared" si="4"/>
        <v>23715.324553799499</v>
      </c>
      <c r="J35">
        <f>'Monitized Values'!G54</f>
        <v>73</v>
      </c>
      <c r="K35" s="173">
        <f t="shared" si="5"/>
        <v>58609.140386870655</v>
      </c>
      <c r="L35" s="70">
        <f t="shared" si="6"/>
        <v>1245761.0342503921</v>
      </c>
      <c r="M35" s="173">
        <f t="shared" si="7"/>
        <v>281184.66609779024</v>
      </c>
      <c r="N35" s="173">
        <f t="shared" si="8"/>
        <v>30587.670851082472</v>
      </c>
      <c r="O35" s="174">
        <f t="shared" si="9"/>
        <v>311772.33694887272</v>
      </c>
    </row>
    <row r="36" spans="2:15" ht="14.5" x14ac:dyDescent="0.35">
      <c r="B36" s="18">
        <f t="shared" si="0"/>
        <v>2042</v>
      </c>
      <c r="C36" s="5">
        <v>23</v>
      </c>
      <c r="D36" s="289">
        <f>'StreetLight Insight 2019'!I49</f>
        <v>1938088.1177219395</v>
      </c>
      <c r="E36">
        <f t="shared" si="1"/>
        <v>1.3372808012281381</v>
      </c>
      <c r="F36">
        <f t="shared" si="2"/>
        <v>814.90791085854391</v>
      </c>
      <c r="G36" s="181">
        <f t="shared" si="3"/>
        <v>1240376.3953420413</v>
      </c>
      <c r="H36" s="6">
        <f>'Monitized Values'!D55</f>
        <v>18000</v>
      </c>
      <c r="I36" s="70">
        <f t="shared" si="4"/>
        <v>24071.054422106485</v>
      </c>
      <c r="J36">
        <f>'Monitized Values'!G55</f>
        <v>75</v>
      </c>
      <c r="K36" s="173">
        <f t="shared" si="5"/>
        <v>61118.093314390797</v>
      </c>
      <c r="L36" s="70">
        <f t="shared" si="6"/>
        <v>1264447.4497641479</v>
      </c>
      <c r="M36" s="173">
        <f t="shared" si="7"/>
        <v>266731.24868154863</v>
      </c>
      <c r="N36" s="173">
        <f t="shared" si="8"/>
        <v>30968.033562157903</v>
      </c>
      <c r="O36" s="174">
        <f t="shared" si="9"/>
        <v>297699.28224370652</v>
      </c>
    </row>
    <row r="37" spans="2:15" ht="14.5" x14ac:dyDescent="0.35">
      <c r="B37" s="18">
        <f t="shared" si="0"/>
        <v>2043</v>
      </c>
      <c r="C37" s="5">
        <v>24</v>
      </c>
      <c r="D37" s="289">
        <f>'StreetLight Insight 2019'!I50</f>
        <v>1967159.4394877683</v>
      </c>
      <c r="E37">
        <f t="shared" si="1"/>
        <v>1.3573400132465601</v>
      </c>
      <c r="F37">
        <f t="shared" si="2"/>
        <v>827.13152952142195</v>
      </c>
      <c r="G37" s="181">
        <f t="shared" si="3"/>
        <v>1258982.0412721718</v>
      </c>
      <c r="H37" s="6">
        <f>'Monitized Values'!D56</f>
        <v>18000</v>
      </c>
      <c r="I37" s="70">
        <f t="shared" si="4"/>
        <v>24432.120238438081</v>
      </c>
      <c r="J37">
        <f>'Monitized Values'!G56</f>
        <v>76</v>
      </c>
      <c r="K37" s="173">
        <f t="shared" si="5"/>
        <v>62861.996243628069</v>
      </c>
      <c r="L37" s="70">
        <f t="shared" si="6"/>
        <v>1283414.1615106098</v>
      </c>
      <c r="M37" s="173">
        <f t="shared" si="7"/>
        <v>253020.76393623534</v>
      </c>
      <c r="N37" s="173">
        <f t="shared" si="8"/>
        <v>30923.936685888162</v>
      </c>
      <c r="O37" s="174">
        <f t="shared" si="9"/>
        <v>283944.70062212349</v>
      </c>
    </row>
    <row r="38" spans="2:15" ht="14.5" x14ac:dyDescent="0.35">
      <c r="B38" s="18">
        <f t="shared" si="0"/>
        <v>2044</v>
      </c>
      <c r="C38" s="140">
        <v>25</v>
      </c>
      <c r="D38" s="289">
        <f>'StreetLight Insight 2019'!I51</f>
        <v>1996666.8310800847</v>
      </c>
      <c r="E38">
        <f t="shared" si="1"/>
        <v>1.3777001134452584</v>
      </c>
      <c r="F38">
        <f t="shared" si="2"/>
        <v>839.53850246424315</v>
      </c>
      <c r="G38" s="181">
        <f t="shared" si="3"/>
        <v>1277866.7718912542</v>
      </c>
      <c r="H38" s="6">
        <f>'Monitized Values'!D57</f>
        <v>18000</v>
      </c>
      <c r="I38" s="70">
        <f t="shared" si="4"/>
        <v>24798.602042014652</v>
      </c>
      <c r="J38">
        <f>'Monitized Values'!G57</f>
        <v>77</v>
      </c>
      <c r="K38" s="173">
        <f t="shared" si="5"/>
        <v>64644.464689746725</v>
      </c>
      <c r="L38" s="70">
        <f t="shared" si="6"/>
        <v>1302665.3739332689</v>
      </c>
      <c r="M38" s="173">
        <f t="shared" si="7"/>
        <v>240015.02373390546</v>
      </c>
      <c r="N38" s="173">
        <f t="shared" si="8"/>
        <v>30874.556357761743</v>
      </c>
      <c r="O38" s="174">
        <f t="shared" si="9"/>
        <v>270889.58009166719</v>
      </c>
    </row>
    <row r="39" spans="2:15" ht="14.5" x14ac:dyDescent="0.35">
      <c r="B39" s="18">
        <f t="shared" si="0"/>
        <v>2045</v>
      </c>
      <c r="C39" s="140">
        <v>26</v>
      </c>
      <c r="D39" s="289">
        <f>'StreetLight Insight 2019'!I52</f>
        <v>2026616.8335462858</v>
      </c>
      <c r="E39">
        <f t="shared" si="1"/>
        <v>1.398365615146937</v>
      </c>
      <c r="F39">
        <f t="shared" si="2"/>
        <v>852.13158000120677</v>
      </c>
      <c r="G39" s="181">
        <f t="shared" si="3"/>
        <v>1297034.7734696229</v>
      </c>
      <c r="H39" s="6">
        <f>'Monitized Values'!D58</f>
        <v>18000</v>
      </c>
      <c r="I39" s="70">
        <f t="shared" si="4"/>
        <v>25170.581072644865</v>
      </c>
      <c r="J39">
        <f>'Monitized Values'!G58</f>
        <v>78</v>
      </c>
      <c r="K39" s="173">
        <f t="shared" si="5"/>
        <v>66466.263240094122</v>
      </c>
      <c r="L39" s="70">
        <f t="shared" si="6"/>
        <v>1322205.3545422677</v>
      </c>
      <c r="M39" s="173">
        <f t="shared" si="7"/>
        <v>227677.80288777011</v>
      </c>
      <c r="N39" s="173">
        <f t="shared" si="8"/>
        <v>30820.055816971333</v>
      </c>
      <c r="O39" s="174">
        <f t="shared" si="9"/>
        <v>258497.85870474146</v>
      </c>
    </row>
    <row r="40" spans="2:15" ht="14.5" x14ac:dyDescent="0.35">
      <c r="B40" s="18">
        <f t="shared" si="0"/>
        <v>2046</v>
      </c>
      <c r="C40" s="140">
        <v>27</v>
      </c>
      <c r="D40" s="289">
        <f>'StreetLight Insight 2019'!I53</f>
        <v>2057016.0860494799</v>
      </c>
      <c r="E40">
        <f t="shared" si="1"/>
        <v>1.4193410993741411</v>
      </c>
      <c r="F40">
        <f t="shared" si="2"/>
        <v>864.91355370122483</v>
      </c>
      <c r="G40" s="181">
        <f t="shared" si="3"/>
        <v>1316490.2950716671</v>
      </c>
      <c r="H40" s="6">
        <f>'Monitized Values'!D59</f>
        <v>18000</v>
      </c>
      <c r="I40" s="70">
        <f t="shared" si="4"/>
        <v>25548.139788734541</v>
      </c>
      <c r="J40">
        <f>'Monitized Values'!G59</f>
        <v>79</v>
      </c>
      <c r="K40" s="173">
        <f t="shared" si="5"/>
        <v>68328.17074239676</v>
      </c>
      <c r="L40" s="70">
        <f t="shared" si="6"/>
        <v>1342038.4348604016</v>
      </c>
      <c r="M40" s="173">
        <f t="shared" si="7"/>
        <v>215974.73825335194</v>
      </c>
      <c r="N40" s="173">
        <f t="shared" si="8"/>
        <v>30760.594668706082</v>
      </c>
      <c r="O40" s="174">
        <f t="shared" si="9"/>
        <v>246735.33292205803</v>
      </c>
    </row>
    <row r="41" spans="2:15" x14ac:dyDescent="0.3">
      <c r="O41" s="174">
        <f>SUM(O20:O40)</f>
        <v>8724072.9401912373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CC1AE-0AEB-40C5-B8E6-043897E63E5C}">
  <sheetPr>
    <tabColor theme="2" tint="-0.249977111117893"/>
  </sheetPr>
  <dimension ref="A1:W62"/>
  <sheetViews>
    <sheetView workbookViewId="0"/>
  </sheetViews>
  <sheetFormatPr defaultRowHeight="13.5" x14ac:dyDescent="0.3"/>
  <cols>
    <col min="1" max="2" width="9.23046875" style="162"/>
    <col min="3" max="3" width="13.3828125" style="162" customWidth="1"/>
    <col min="4" max="4" width="14.15234375" style="162" customWidth="1"/>
    <col min="5" max="5" width="13" style="162" customWidth="1"/>
    <col min="6" max="7" width="20.61328125" style="162" customWidth="1"/>
    <col min="8" max="8" width="8.61328125" style="162" customWidth="1"/>
    <col min="9" max="9" width="9.23046875" style="162"/>
    <col min="10" max="10" width="8.765625" style="162" customWidth="1"/>
    <col min="11" max="11" width="9.765625" style="162" customWidth="1"/>
    <col min="12" max="12" width="12.15234375" style="162" customWidth="1"/>
    <col min="13" max="13" width="9.61328125" style="162" customWidth="1"/>
    <col min="14" max="14" width="15.61328125" style="162" customWidth="1"/>
    <col min="15" max="15" width="9.23046875" style="162"/>
    <col min="16" max="16" width="12.3046875" style="162" bestFit="1" customWidth="1"/>
    <col min="17" max="17" width="9.84375" style="162" customWidth="1"/>
    <col min="18" max="20" width="9.23046875" style="162"/>
    <col min="21" max="21" width="7.84375" style="162" customWidth="1"/>
    <col min="22" max="16384" width="9.23046875" style="162"/>
  </cols>
  <sheetData>
    <row r="1" spans="1:23" ht="15" thickTop="1" x14ac:dyDescent="0.35">
      <c r="A1" s="201"/>
      <c r="B1" s="201"/>
      <c r="C1" s="201"/>
      <c r="D1" s="201"/>
      <c r="E1" s="201"/>
      <c r="F1" s="201"/>
      <c r="G1" s="201"/>
      <c r="H1" s="201"/>
      <c r="I1" s="202" t="s">
        <v>99</v>
      </c>
      <c r="J1" s="203"/>
      <c r="K1" s="203"/>
      <c r="L1" s="204">
        <f>L10+L16</f>
        <v>-84704.545454545441</v>
      </c>
      <c r="M1" s="203"/>
      <c r="N1" s="203" t="s">
        <v>100</v>
      </c>
      <c r="O1" s="203"/>
      <c r="P1" s="203"/>
      <c r="Q1" s="203"/>
      <c r="R1" s="203"/>
      <c r="S1" s="203"/>
      <c r="T1" s="203"/>
      <c r="U1" s="163"/>
      <c r="V1" s="163"/>
      <c r="W1" s="164"/>
    </row>
    <row r="2" spans="1:23" ht="15" customHeight="1" x14ac:dyDescent="0.35">
      <c r="A2" s="271"/>
      <c r="B2" s="351" t="s">
        <v>101</v>
      </c>
      <c r="C2" s="352"/>
      <c r="D2" s="352"/>
      <c r="E2" s="352"/>
      <c r="F2" s="352"/>
      <c r="G2" s="272"/>
      <c r="H2" s="201"/>
      <c r="I2" s="205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143"/>
      <c r="V2" s="143"/>
      <c r="W2" s="165"/>
    </row>
    <row r="3" spans="1:23" ht="14.5" x14ac:dyDescent="0.35">
      <c r="A3" s="282" t="s">
        <v>4</v>
      </c>
      <c r="B3" s="282" t="s">
        <v>0</v>
      </c>
      <c r="C3" s="207" t="s">
        <v>102</v>
      </c>
      <c r="D3" s="207" t="s">
        <v>103</v>
      </c>
      <c r="E3" s="207" t="s">
        <v>177</v>
      </c>
      <c r="F3" s="208" t="s">
        <v>104</v>
      </c>
      <c r="G3" s="208" t="s">
        <v>166</v>
      </c>
      <c r="H3" s="201"/>
      <c r="I3" s="209" t="s">
        <v>105</v>
      </c>
      <c r="J3" s="210"/>
      <c r="K3" s="211"/>
      <c r="L3" s="211"/>
      <c r="M3" s="212">
        <v>100000</v>
      </c>
      <c r="N3" s="211" t="s">
        <v>106</v>
      </c>
      <c r="O3" s="211"/>
      <c r="P3" s="211"/>
      <c r="Q3" s="211"/>
      <c r="R3" s="211"/>
      <c r="S3" s="211"/>
      <c r="T3" s="211"/>
      <c r="U3" s="166"/>
      <c r="V3" s="166"/>
      <c r="W3" s="167"/>
    </row>
    <row r="4" spans="1:23" ht="14.5" x14ac:dyDescent="0.35">
      <c r="A4" s="273">
        <v>1</v>
      </c>
      <c r="B4" s="274">
        <v>2020</v>
      </c>
      <c r="C4" s="213">
        <v>0</v>
      </c>
      <c r="D4" s="275"/>
      <c r="E4" s="275"/>
      <c r="F4" s="276">
        <f t="shared" ref="F4:F30" si="0">C4+D4+E4</f>
        <v>0</v>
      </c>
      <c r="G4" s="276">
        <f>F4/(1.07^A4)</f>
        <v>0</v>
      </c>
      <c r="H4" s="201"/>
      <c r="I4" s="214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166"/>
      <c r="V4" s="166"/>
      <c r="W4" s="167"/>
    </row>
    <row r="5" spans="1:23" ht="14.5" x14ac:dyDescent="0.35">
      <c r="A5" s="273">
        <f>A4+1</f>
        <v>2</v>
      </c>
      <c r="B5" s="274">
        <f>B4+1</f>
        <v>2021</v>
      </c>
      <c r="C5" s="213">
        <v>0</v>
      </c>
      <c r="D5" s="275"/>
      <c r="E5" s="275"/>
      <c r="F5" s="276">
        <f t="shared" si="0"/>
        <v>0</v>
      </c>
      <c r="G5" s="276">
        <f t="shared" ref="G5:G30" si="1">F5/(1.07^A5)</f>
        <v>0</v>
      </c>
      <c r="H5" s="201"/>
      <c r="I5" s="214"/>
      <c r="J5" s="211"/>
      <c r="K5" s="211"/>
      <c r="L5" s="211"/>
      <c r="M5" s="211"/>
      <c r="N5" s="215" t="s">
        <v>107</v>
      </c>
      <c r="O5" s="215"/>
      <c r="P5" s="215" t="s">
        <v>108</v>
      </c>
      <c r="Q5" s="215" t="s">
        <v>109</v>
      </c>
      <c r="R5" s="215"/>
      <c r="S5" s="215" t="s">
        <v>108</v>
      </c>
      <c r="T5" s="215" t="s">
        <v>109</v>
      </c>
      <c r="U5" s="168"/>
      <c r="V5" s="168" t="s">
        <v>110</v>
      </c>
      <c r="W5" s="169" t="s">
        <v>109</v>
      </c>
    </row>
    <row r="6" spans="1:23" ht="14.5" x14ac:dyDescent="0.35">
      <c r="A6" s="273">
        <f t="shared" ref="A6:A30" si="2">A5+1</f>
        <v>3</v>
      </c>
      <c r="B6" s="274">
        <f t="shared" ref="B6:B30" si="3">B5+1</f>
        <v>2022</v>
      </c>
      <c r="C6" s="276">
        <v>0</v>
      </c>
      <c r="D6" s="277"/>
      <c r="E6" s="277"/>
      <c r="F6" s="276">
        <f t="shared" si="0"/>
        <v>0</v>
      </c>
      <c r="G6" s="276">
        <f t="shared" si="1"/>
        <v>0</v>
      </c>
      <c r="H6" s="201"/>
      <c r="I6" s="214"/>
      <c r="J6" s="216" t="s">
        <v>111</v>
      </c>
      <c r="K6" s="211"/>
      <c r="L6" s="217">
        <f t="shared" ref="L6" si="4">0-N6/5280*M$3</f>
        <v>-121212.12121212122</v>
      </c>
      <c r="M6" s="211"/>
      <c r="N6" s="218">
        <f>P6*Q6+S6*T6</f>
        <v>6400</v>
      </c>
      <c r="O6" s="211"/>
      <c r="P6" s="218">
        <v>3200</v>
      </c>
      <c r="Q6" s="215">
        <v>2</v>
      </c>
      <c r="R6" s="215"/>
      <c r="S6" s="215"/>
      <c r="T6" s="215"/>
      <c r="U6" s="168"/>
      <c r="V6" s="168"/>
      <c r="W6" s="167"/>
    </row>
    <row r="7" spans="1:23" ht="14.5" x14ac:dyDescent="0.35">
      <c r="A7" s="273">
        <f t="shared" si="2"/>
        <v>4</v>
      </c>
      <c r="B7" s="274">
        <f t="shared" si="3"/>
        <v>2023</v>
      </c>
      <c r="C7" s="276">
        <v>0</v>
      </c>
      <c r="D7" s="278">
        <f>L40</f>
        <v>26817960</v>
      </c>
      <c r="E7" s="275">
        <f>P51</f>
        <v>797348.75</v>
      </c>
      <c r="F7" s="276">
        <f t="shared" si="0"/>
        <v>27615308.75</v>
      </c>
      <c r="G7" s="276">
        <f t="shared" si="1"/>
        <v>21067586.82458913</v>
      </c>
      <c r="H7" s="201"/>
      <c r="I7" s="214"/>
      <c r="J7" s="216" t="s">
        <v>112</v>
      </c>
      <c r="K7" s="211"/>
      <c r="L7" s="217">
        <f>0-N7/5280*M$3</f>
        <v>20833.333333333336</v>
      </c>
      <c r="M7" s="211"/>
      <c r="N7" s="218">
        <f>P7*Q7+S7*T7</f>
        <v>-1100</v>
      </c>
      <c r="O7" s="211"/>
      <c r="P7" s="218">
        <v>-1100</v>
      </c>
      <c r="Q7" s="215">
        <v>1</v>
      </c>
      <c r="R7" s="215"/>
      <c r="S7" s="218"/>
      <c r="T7" s="215"/>
      <c r="U7" s="168"/>
      <c r="V7" s="168"/>
      <c r="W7" s="167"/>
    </row>
    <row r="8" spans="1:23" ht="14.5" x14ac:dyDescent="0.35">
      <c r="A8" s="273">
        <f t="shared" si="2"/>
        <v>5</v>
      </c>
      <c r="B8" s="274">
        <f t="shared" si="3"/>
        <v>2024</v>
      </c>
      <c r="C8" s="276">
        <v>0</v>
      </c>
      <c r="D8" s="277"/>
      <c r="E8" s="275"/>
      <c r="F8" s="276">
        <f t="shared" si="0"/>
        <v>0</v>
      </c>
      <c r="G8" s="276">
        <f t="shared" si="1"/>
        <v>0</v>
      </c>
      <c r="H8" s="201"/>
      <c r="I8" s="214"/>
      <c r="J8" s="216" t="s">
        <v>113</v>
      </c>
      <c r="K8" s="211"/>
      <c r="L8" s="217">
        <f>0-N8/5280*M$3</f>
        <v>23674.242424242424</v>
      </c>
      <c r="M8" s="211"/>
      <c r="N8" s="218">
        <f>P8*Q8+S8*T8</f>
        <v>-1250</v>
      </c>
      <c r="O8" s="211"/>
      <c r="P8" s="218">
        <v>-1250</v>
      </c>
      <c r="Q8" s="215">
        <v>1</v>
      </c>
      <c r="R8" s="215"/>
      <c r="S8" s="215"/>
      <c r="T8" s="215"/>
      <c r="U8" s="168"/>
      <c r="V8" s="168"/>
      <c r="W8" s="167"/>
    </row>
    <row r="9" spans="1:23" ht="14.5" x14ac:dyDescent="0.35">
      <c r="A9" s="273">
        <f t="shared" si="2"/>
        <v>6</v>
      </c>
      <c r="B9" s="274">
        <f t="shared" si="3"/>
        <v>2025</v>
      </c>
      <c r="C9" s="278">
        <v>0</v>
      </c>
      <c r="D9" s="277"/>
      <c r="E9" s="278"/>
      <c r="F9" s="276">
        <f t="shared" si="0"/>
        <v>0</v>
      </c>
      <c r="G9" s="276">
        <f t="shared" si="1"/>
        <v>0</v>
      </c>
      <c r="H9" s="201"/>
      <c r="I9" s="214"/>
      <c r="J9" s="216"/>
      <c r="K9" s="211"/>
      <c r="L9" s="217"/>
      <c r="M9" s="211"/>
      <c r="N9" s="218"/>
      <c r="O9" s="211"/>
      <c r="P9" s="218"/>
      <c r="Q9" s="215"/>
      <c r="R9" s="215"/>
      <c r="S9" s="218"/>
      <c r="T9" s="215"/>
      <c r="U9" s="168"/>
      <c r="V9" s="170"/>
      <c r="W9" s="169"/>
    </row>
    <row r="10" spans="1:23" ht="14.5" x14ac:dyDescent="0.35">
      <c r="A10" s="273">
        <f t="shared" si="2"/>
        <v>7</v>
      </c>
      <c r="B10" s="274">
        <f t="shared" si="3"/>
        <v>2026</v>
      </c>
      <c r="C10" s="278">
        <f t="shared" ref="C10:C30" si="5">$L$1</f>
        <v>-84704.545454545441</v>
      </c>
      <c r="D10" s="277"/>
      <c r="E10" s="275"/>
      <c r="F10" s="276">
        <f t="shared" si="0"/>
        <v>-84704.545454545441</v>
      </c>
      <c r="G10" s="276">
        <f t="shared" si="1"/>
        <v>-52749.733818269786</v>
      </c>
      <c r="H10" s="201"/>
      <c r="I10" s="214"/>
      <c r="J10" s="216"/>
      <c r="K10" s="211"/>
      <c r="L10" s="219">
        <f>SUM(L6:L8)</f>
        <v>-76704.545454545441</v>
      </c>
      <c r="M10" s="211"/>
      <c r="N10" s="218"/>
      <c r="O10" s="211"/>
      <c r="P10" s="218"/>
      <c r="Q10" s="215"/>
      <c r="R10" s="215"/>
      <c r="S10" s="218"/>
      <c r="T10" s="215"/>
      <c r="U10" s="168"/>
      <c r="V10" s="168"/>
      <c r="W10" s="167"/>
    </row>
    <row r="11" spans="1:23" ht="14.5" x14ac:dyDescent="0.35">
      <c r="A11" s="273">
        <f t="shared" si="2"/>
        <v>8</v>
      </c>
      <c r="B11" s="274">
        <f t="shared" si="3"/>
        <v>2027</v>
      </c>
      <c r="C11" s="278">
        <f t="shared" si="5"/>
        <v>-84704.545454545441</v>
      </c>
      <c r="D11" s="277"/>
      <c r="E11" s="275"/>
      <c r="F11" s="276">
        <f t="shared" si="0"/>
        <v>-84704.545454545441</v>
      </c>
      <c r="G11" s="276">
        <f t="shared" si="1"/>
        <v>-49298.81665258859</v>
      </c>
      <c r="H11" s="201"/>
      <c r="I11" s="205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143"/>
      <c r="V11" s="143"/>
      <c r="W11" s="165"/>
    </row>
    <row r="12" spans="1:23" ht="14.5" x14ac:dyDescent="0.35">
      <c r="A12" s="273">
        <f t="shared" si="2"/>
        <v>9</v>
      </c>
      <c r="B12" s="274">
        <f t="shared" si="3"/>
        <v>2028</v>
      </c>
      <c r="C12" s="278">
        <f t="shared" si="5"/>
        <v>-84704.545454545441</v>
      </c>
      <c r="D12" s="277"/>
      <c r="E12" s="277"/>
      <c r="F12" s="276">
        <f t="shared" si="0"/>
        <v>-84704.545454545441</v>
      </c>
      <c r="G12" s="276">
        <f t="shared" si="1"/>
        <v>-46073.660422979985</v>
      </c>
      <c r="H12" s="201"/>
      <c r="I12" s="214"/>
      <c r="J12" s="220" t="s">
        <v>114</v>
      </c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166"/>
      <c r="V12" s="166"/>
      <c r="W12" s="167"/>
    </row>
    <row r="13" spans="1:23" ht="14.5" x14ac:dyDescent="0.35">
      <c r="A13" s="273">
        <f t="shared" si="2"/>
        <v>10</v>
      </c>
      <c r="B13" s="274">
        <f t="shared" si="3"/>
        <v>2029</v>
      </c>
      <c r="C13" s="278">
        <f t="shared" si="5"/>
        <v>-84704.545454545441</v>
      </c>
      <c r="D13" s="277"/>
      <c r="E13" s="275"/>
      <c r="F13" s="276">
        <f t="shared" si="0"/>
        <v>-84704.545454545441</v>
      </c>
      <c r="G13" s="276">
        <f t="shared" si="1"/>
        <v>-43059.4957224112</v>
      </c>
      <c r="H13" s="201"/>
      <c r="I13" s="214"/>
      <c r="J13" s="216" t="s">
        <v>115</v>
      </c>
      <c r="K13" s="211"/>
      <c r="L13" s="221">
        <v>-4000</v>
      </c>
      <c r="M13" s="211"/>
      <c r="N13" s="211"/>
      <c r="O13" s="211"/>
      <c r="P13" s="211"/>
      <c r="Q13" s="211"/>
      <c r="R13" s="211"/>
      <c r="S13" s="211"/>
      <c r="T13" s="211"/>
      <c r="U13" s="166"/>
      <c r="V13" s="166"/>
      <c r="W13" s="167"/>
    </row>
    <row r="14" spans="1:23" ht="14.5" x14ac:dyDescent="0.35">
      <c r="A14" s="273">
        <f t="shared" si="2"/>
        <v>11</v>
      </c>
      <c r="B14" s="274">
        <f t="shared" si="3"/>
        <v>2030</v>
      </c>
      <c r="C14" s="278">
        <f t="shared" si="5"/>
        <v>-84704.545454545441</v>
      </c>
      <c r="D14" s="277"/>
      <c r="E14" s="275"/>
      <c r="F14" s="276">
        <f t="shared" si="0"/>
        <v>-84704.545454545441</v>
      </c>
      <c r="G14" s="276">
        <f t="shared" si="1"/>
        <v>-40242.519366739434</v>
      </c>
      <c r="H14" s="201"/>
      <c r="I14" s="214"/>
      <c r="J14" s="216" t="s">
        <v>116</v>
      </c>
      <c r="K14" s="211"/>
      <c r="L14" s="221">
        <v>-4000</v>
      </c>
      <c r="M14" s="211"/>
      <c r="N14" s="211"/>
      <c r="O14" s="211"/>
      <c r="P14" s="211"/>
      <c r="Q14" s="211"/>
      <c r="R14" s="211"/>
      <c r="S14" s="211"/>
      <c r="T14" s="211"/>
      <c r="U14" s="166"/>
      <c r="V14" s="166"/>
      <c r="W14" s="167"/>
    </row>
    <row r="15" spans="1:23" ht="14.5" x14ac:dyDescent="0.35">
      <c r="A15" s="273">
        <f t="shared" si="2"/>
        <v>12</v>
      </c>
      <c r="B15" s="274">
        <f t="shared" si="3"/>
        <v>2031</v>
      </c>
      <c r="C15" s="278">
        <f t="shared" si="5"/>
        <v>-84704.545454545441</v>
      </c>
      <c r="D15" s="277"/>
      <c r="E15" s="275"/>
      <c r="F15" s="276">
        <f t="shared" si="0"/>
        <v>-84704.545454545441</v>
      </c>
      <c r="G15" s="276">
        <f t="shared" si="1"/>
        <v>-37609.831183868642</v>
      </c>
      <c r="H15" s="201"/>
      <c r="I15" s="214"/>
      <c r="J15" s="216"/>
      <c r="K15" s="211"/>
      <c r="L15" s="221"/>
      <c r="M15" s="211"/>
      <c r="N15" s="211"/>
      <c r="O15" s="211"/>
      <c r="P15" s="211"/>
      <c r="Q15" s="211"/>
      <c r="R15" s="211"/>
      <c r="S15" s="211"/>
      <c r="T15" s="211"/>
      <c r="U15" s="166"/>
      <c r="V15" s="166"/>
      <c r="W15" s="167"/>
    </row>
    <row r="16" spans="1:23" ht="15" thickBot="1" x14ac:dyDescent="0.4">
      <c r="A16" s="273">
        <f t="shared" si="2"/>
        <v>13</v>
      </c>
      <c r="B16" s="274">
        <f t="shared" si="3"/>
        <v>2032</v>
      </c>
      <c r="C16" s="278">
        <f t="shared" si="5"/>
        <v>-84704.545454545441</v>
      </c>
      <c r="D16" s="277"/>
      <c r="E16" s="275"/>
      <c r="F16" s="276">
        <f t="shared" si="0"/>
        <v>-84704.545454545441</v>
      </c>
      <c r="G16" s="276">
        <f t="shared" si="1"/>
        <v>-35149.374938194989</v>
      </c>
      <c r="H16" s="201"/>
      <c r="I16" s="214"/>
      <c r="J16" s="216"/>
      <c r="K16" s="211"/>
      <c r="L16" s="222">
        <f>SUM(L13:L14)</f>
        <v>-8000</v>
      </c>
      <c r="M16" s="211"/>
      <c r="N16" s="211"/>
      <c r="O16" s="211"/>
      <c r="P16" s="211"/>
      <c r="Q16" s="211"/>
      <c r="R16" s="211"/>
      <c r="S16" s="211"/>
      <c r="T16" s="211"/>
      <c r="U16" s="166"/>
      <c r="V16" s="166"/>
      <c r="W16" s="167"/>
    </row>
    <row r="17" spans="1:23" ht="15.5" thickTop="1" thickBot="1" x14ac:dyDescent="0.4">
      <c r="A17" s="273">
        <f t="shared" si="2"/>
        <v>14</v>
      </c>
      <c r="B17" s="274">
        <f t="shared" si="3"/>
        <v>2033</v>
      </c>
      <c r="C17" s="278">
        <f t="shared" si="5"/>
        <v>-84704.545454545441</v>
      </c>
      <c r="D17" s="277">
        <f>L41</f>
        <v>561600</v>
      </c>
      <c r="E17" s="277">
        <f>N26</f>
        <v>-92906</v>
      </c>
      <c r="F17" s="276">
        <f t="shared" si="0"/>
        <v>383989.45454545459</v>
      </c>
      <c r="G17" s="276">
        <f t="shared" si="1"/>
        <v>148917.73084156567</v>
      </c>
      <c r="H17" s="201"/>
      <c r="I17" s="223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171"/>
      <c r="V17" s="171"/>
      <c r="W17" s="172"/>
    </row>
    <row r="18" spans="1:23" ht="15" thickTop="1" x14ac:dyDescent="0.35">
      <c r="A18" s="273">
        <f t="shared" si="2"/>
        <v>15</v>
      </c>
      <c r="B18" s="274">
        <f t="shared" si="3"/>
        <v>2034</v>
      </c>
      <c r="C18" s="278">
        <f t="shared" si="5"/>
        <v>-84704.545454545441</v>
      </c>
      <c r="D18" s="277"/>
      <c r="E18" s="275"/>
      <c r="F18" s="276">
        <f t="shared" si="0"/>
        <v>-84704.545454545441</v>
      </c>
      <c r="G18" s="276">
        <f t="shared" si="1"/>
        <v>-30700.825345615325</v>
      </c>
      <c r="H18" s="201"/>
      <c r="I18" s="201"/>
      <c r="J18" s="201"/>
      <c r="K18" s="201"/>
      <c r="L18" s="225"/>
      <c r="M18" s="201"/>
      <c r="N18" s="201"/>
      <c r="O18" s="201"/>
      <c r="P18" s="201"/>
      <c r="Q18" s="201"/>
      <c r="R18" s="201"/>
      <c r="S18" s="201"/>
      <c r="T18" s="201"/>
    </row>
    <row r="19" spans="1:23" ht="15" thickBot="1" x14ac:dyDescent="0.4">
      <c r="A19" s="273">
        <f t="shared" si="2"/>
        <v>16</v>
      </c>
      <c r="B19" s="274">
        <f t="shared" si="3"/>
        <v>2035</v>
      </c>
      <c r="C19" s="278">
        <f t="shared" si="5"/>
        <v>-84704.545454545441</v>
      </c>
      <c r="D19" s="277"/>
      <c r="E19" s="275"/>
      <c r="F19" s="276">
        <f t="shared" si="0"/>
        <v>-84704.545454545441</v>
      </c>
      <c r="G19" s="276">
        <f t="shared" si="1"/>
        <v>-28692.360136089093</v>
      </c>
      <c r="H19" s="201"/>
      <c r="I19" s="201"/>
      <c r="J19" s="201"/>
      <c r="K19" s="201"/>
      <c r="L19" s="225"/>
      <c r="M19" s="201"/>
      <c r="N19" s="201"/>
      <c r="O19" s="201"/>
      <c r="P19" s="201"/>
      <c r="Q19" s="201"/>
      <c r="R19" s="201"/>
      <c r="S19" s="201"/>
      <c r="T19" s="201"/>
    </row>
    <row r="20" spans="1:23" ht="15" thickTop="1" x14ac:dyDescent="0.35">
      <c r="A20" s="273">
        <f t="shared" si="2"/>
        <v>17</v>
      </c>
      <c r="B20" s="274">
        <f t="shared" si="3"/>
        <v>2036</v>
      </c>
      <c r="C20" s="278">
        <f t="shared" si="5"/>
        <v>-84704.545454545441</v>
      </c>
      <c r="D20" s="278"/>
      <c r="E20" s="278"/>
      <c r="F20" s="276">
        <f t="shared" si="0"/>
        <v>-84704.545454545441</v>
      </c>
      <c r="G20" s="276">
        <f t="shared" si="1"/>
        <v>-26815.289846812237</v>
      </c>
      <c r="H20" s="201"/>
      <c r="I20" s="226"/>
      <c r="J20" s="227" t="s">
        <v>177</v>
      </c>
      <c r="K20" s="228"/>
      <c r="L20" s="228" t="s">
        <v>178</v>
      </c>
      <c r="M20" s="229"/>
      <c r="N20" s="228"/>
      <c r="O20" s="228"/>
      <c r="P20" s="228"/>
      <c r="Q20" s="230"/>
      <c r="R20" s="201"/>
      <c r="S20" s="201"/>
      <c r="T20" s="201"/>
    </row>
    <row r="21" spans="1:23" ht="14.5" x14ac:dyDescent="0.35">
      <c r="A21" s="273">
        <f t="shared" si="2"/>
        <v>18</v>
      </c>
      <c r="B21" s="274">
        <f t="shared" si="3"/>
        <v>2037</v>
      </c>
      <c r="C21" s="278">
        <f t="shared" si="5"/>
        <v>-84704.545454545441</v>
      </c>
      <c r="D21" s="277"/>
      <c r="E21" s="275"/>
      <c r="F21" s="276">
        <f t="shared" si="0"/>
        <v>-84704.545454545441</v>
      </c>
      <c r="G21" s="276">
        <f t="shared" si="1"/>
        <v>-25061.018548422649</v>
      </c>
      <c r="H21" s="201"/>
      <c r="I21" s="231"/>
      <c r="J21" s="232" t="s">
        <v>111</v>
      </c>
      <c r="K21" s="233"/>
      <c r="L21" s="234">
        <f>0-((P6*Q6+S6*T6+V6*W6)*12+(P6+S6+V6)*20)</f>
        <v>-140800</v>
      </c>
      <c r="M21" s="233"/>
      <c r="N21" s="233"/>
      <c r="O21" s="233"/>
      <c r="P21" s="233"/>
      <c r="Q21" s="235"/>
      <c r="R21" s="201"/>
      <c r="S21" s="201"/>
      <c r="T21" s="201"/>
    </row>
    <row r="22" spans="1:23" ht="14.5" x14ac:dyDescent="0.35">
      <c r="A22" s="273">
        <f t="shared" si="2"/>
        <v>19</v>
      </c>
      <c r="B22" s="274">
        <f t="shared" si="3"/>
        <v>2038</v>
      </c>
      <c r="C22" s="278">
        <f t="shared" si="5"/>
        <v>-84704.545454545441</v>
      </c>
      <c r="D22" s="277"/>
      <c r="E22" s="275"/>
      <c r="F22" s="276">
        <f t="shared" si="0"/>
        <v>-84704.545454545441</v>
      </c>
      <c r="G22" s="276">
        <f t="shared" si="1"/>
        <v>-23421.512662077243</v>
      </c>
      <c r="H22" s="201"/>
      <c r="I22" s="231"/>
      <c r="J22" s="232" t="s">
        <v>112</v>
      </c>
      <c r="K22" s="233"/>
      <c r="L22" s="234">
        <f>0-(($P$7*$Q$7+$S$7*$T$7+$V$7*$W$7)*12+($P$7+$S$7+$V$7)*20)</f>
        <v>35200</v>
      </c>
      <c r="M22" s="233"/>
      <c r="N22" s="233"/>
      <c r="O22" s="233"/>
      <c r="P22" s="233"/>
      <c r="Q22" s="235"/>
      <c r="R22" s="201"/>
      <c r="S22" s="201"/>
      <c r="T22" s="201"/>
    </row>
    <row r="23" spans="1:23" ht="14.5" x14ac:dyDescent="0.35">
      <c r="A23" s="273">
        <f t="shared" si="2"/>
        <v>20</v>
      </c>
      <c r="B23" s="274">
        <f t="shared" si="3"/>
        <v>2039</v>
      </c>
      <c r="C23" s="278">
        <f t="shared" si="5"/>
        <v>-84704.545454545441</v>
      </c>
      <c r="D23" s="277"/>
      <c r="E23" s="277"/>
      <c r="F23" s="276">
        <f t="shared" si="0"/>
        <v>-84704.545454545441</v>
      </c>
      <c r="G23" s="276">
        <f t="shared" si="1"/>
        <v>-21889.264170165647</v>
      </c>
      <c r="H23" s="201"/>
      <c r="I23" s="231"/>
      <c r="J23" s="232" t="s">
        <v>113</v>
      </c>
      <c r="K23" s="233"/>
      <c r="L23" s="234">
        <f>0-(($P$8*$Q$8+$S$8*$T$8+$V$8*$W$8)*12+($P$8+$S$8+$V$8)*20)</f>
        <v>40000</v>
      </c>
      <c r="M23" s="233"/>
      <c r="N23" s="233"/>
      <c r="O23" s="233"/>
      <c r="P23" s="233"/>
      <c r="Q23" s="235"/>
      <c r="R23" s="201"/>
      <c r="S23" s="201"/>
      <c r="T23" s="201"/>
    </row>
    <row r="24" spans="1:23" ht="14.5" x14ac:dyDescent="0.35">
      <c r="A24" s="273">
        <f t="shared" si="2"/>
        <v>21</v>
      </c>
      <c r="B24" s="274">
        <f t="shared" si="3"/>
        <v>2040</v>
      </c>
      <c r="C24" s="278">
        <f t="shared" si="5"/>
        <v>-84704.545454545441</v>
      </c>
      <c r="D24" s="277"/>
      <c r="E24" s="275"/>
      <c r="F24" s="276">
        <f t="shared" si="0"/>
        <v>-84704.545454545441</v>
      </c>
      <c r="G24" s="276">
        <f t="shared" si="1"/>
        <v>-20457.256233799668</v>
      </c>
      <c r="H24" s="201"/>
      <c r="I24" s="231"/>
      <c r="J24" s="232"/>
      <c r="K24" s="236"/>
      <c r="L24" s="237">
        <f>SUM(L21:L23)</f>
        <v>-65600</v>
      </c>
      <c r="M24" s="236" t="s">
        <v>117</v>
      </c>
      <c r="N24" s="238">
        <v>1</v>
      </c>
      <c r="O24" s="239" t="s">
        <v>118</v>
      </c>
      <c r="P24" s="233"/>
      <c r="Q24" s="235"/>
      <c r="R24" s="201"/>
      <c r="S24" s="201"/>
      <c r="T24" s="201"/>
    </row>
    <row r="25" spans="1:23" ht="14.5" x14ac:dyDescent="0.35">
      <c r="A25" s="273">
        <f t="shared" si="2"/>
        <v>22</v>
      </c>
      <c r="B25" s="274">
        <f t="shared" si="3"/>
        <v>2041</v>
      </c>
      <c r="C25" s="278">
        <f t="shared" si="5"/>
        <v>-84704.545454545441</v>
      </c>
      <c r="D25" s="277"/>
      <c r="E25" s="275"/>
      <c r="F25" s="276">
        <f t="shared" si="0"/>
        <v>-84704.545454545441</v>
      </c>
      <c r="G25" s="276">
        <f t="shared" si="1"/>
        <v>-19118.931059625858</v>
      </c>
      <c r="H25" s="201"/>
      <c r="I25" s="231"/>
      <c r="J25" s="232"/>
      <c r="K25" s="233"/>
      <c r="L25" s="240"/>
      <c r="M25" s="233"/>
      <c r="N25" s="241">
        <f>N24*L24</f>
        <v>-65600</v>
      </c>
      <c r="O25" s="233"/>
      <c r="P25" s="233"/>
      <c r="Q25" s="235"/>
      <c r="R25" s="201"/>
      <c r="S25" s="201"/>
      <c r="T25" s="201"/>
    </row>
    <row r="26" spans="1:23" ht="14.5" x14ac:dyDescent="0.35">
      <c r="A26" s="273">
        <f t="shared" si="2"/>
        <v>23</v>
      </c>
      <c r="B26" s="274">
        <f t="shared" si="3"/>
        <v>2042</v>
      </c>
      <c r="C26" s="278">
        <f t="shared" si="5"/>
        <v>-84704.545454545441</v>
      </c>
      <c r="D26" s="277"/>
      <c r="E26" s="275"/>
      <c r="F26" s="276">
        <f t="shared" si="0"/>
        <v>-84704.545454545441</v>
      </c>
      <c r="G26" s="276">
        <f t="shared" si="1"/>
        <v>-17868.159868809213</v>
      </c>
      <c r="H26" s="201"/>
      <c r="I26" s="231"/>
      <c r="J26" s="233"/>
      <c r="K26" s="233"/>
      <c r="L26" s="233"/>
      <c r="M26" s="232" t="s">
        <v>119</v>
      </c>
      <c r="N26" s="242">
        <f>L24*1.1*1.25*1.03</f>
        <v>-92906</v>
      </c>
      <c r="O26" s="233"/>
      <c r="P26" s="233"/>
      <c r="Q26" s="235"/>
      <c r="R26" s="201"/>
      <c r="S26" s="201"/>
      <c r="T26" s="201"/>
    </row>
    <row r="27" spans="1:23" ht="15" thickBot="1" x14ac:dyDescent="0.4">
      <c r="A27" s="273">
        <f t="shared" si="2"/>
        <v>24</v>
      </c>
      <c r="B27" s="274">
        <f t="shared" si="3"/>
        <v>2043</v>
      </c>
      <c r="C27" s="278">
        <f t="shared" si="5"/>
        <v>-84704.545454545441</v>
      </c>
      <c r="D27" s="277"/>
      <c r="E27" s="275">
        <f>N26</f>
        <v>-92906</v>
      </c>
      <c r="F27" s="276">
        <f t="shared" si="0"/>
        <v>-177610.54545454544</v>
      </c>
      <c r="G27" s="276">
        <f t="shared" si="1"/>
        <v>-35015.318703625693</v>
      </c>
      <c r="H27" s="201"/>
      <c r="I27" s="243"/>
      <c r="J27" s="244"/>
      <c r="K27" s="244"/>
      <c r="L27" s="245"/>
      <c r="M27" s="245"/>
      <c r="N27" s="244"/>
      <c r="O27" s="244"/>
      <c r="P27" s="244"/>
      <c r="Q27" s="246"/>
      <c r="R27" s="201"/>
      <c r="S27" s="201"/>
      <c r="T27" s="201"/>
    </row>
    <row r="28" spans="1:23" ht="15" thickTop="1" x14ac:dyDescent="0.35">
      <c r="A28" s="273">
        <f t="shared" si="2"/>
        <v>25</v>
      </c>
      <c r="B28" s="274">
        <f t="shared" si="3"/>
        <v>2044</v>
      </c>
      <c r="C28" s="278">
        <f t="shared" si="5"/>
        <v>-84704.545454545441</v>
      </c>
      <c r="D28" s="277"/>
      <c r="E28" s="275"/>
      <c r="F28" s="276">
        <f t="shared" si="0"/>
        <v>-84704.545454545441</v>
      </c>
      <c r="G28" s="276">
        <f t="shared" si="1"/>
        <v>-15606.742832395154</v>
      </c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</row>
    <row r="29" spans="1:23" ht="15" thickBot="1" x14ac:dyDescent="0.4">
      <c r="A29" s="273">
        <f t="shared" si="2"/>
        <v>26</v>
      </c>
      <c r="B29" s="274">
        <f t="shared" si="3"/>
        <v>2045</v>
      </c>
      <c r="C29" s="278">
        <f t="shared" si="5"/>
        <v>-84704.545454545441</v>
      </c>
      <c r="D29" s="277"/>
      <c r="E29" s="277"/>
      <c r="F29" s="276">
        <f t="shared" si="0"/>
        <v>-84704.545454545441</v>
      </c>
      <c r="G29" s="276">
        <f t="shared" si="1"/>
        <v>-14585.740964855286</v>
      </c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</row>
    <row r="30" spans="1:23" ht="14.5" x14ac:dyDescent="0.35">
      <c r="A30" s="273">
        <f t="shared" si="2"/>
        <v>27</v>
      </c>
      <c r="B30" s="274">
        <f t="shared" si="3"/>
        <v>2046</v>
      </c>
      <c r="C30" s="278">
        <f t="shared" si="5"/>
        <v>-84704.545454545441</v>
      </c>
      <c r="D30" s="277"/>
      <c r="E30" s="275"/>
      <c r="F30" s="276">
        <f t="shared" si="0"/>
        <v>-84704.545454545441</v>
      </c>
      <c r="G30" s="276">
        <f t="shared" si="1"/>
        <v>-13631.533612014284</v>
      </c>
      <c r="H30" s="201"/>
      <c r="I30" s="247"/>
      <c r="J30" s="248" t="s">
        <v>120</v>
      </c>
      <c r="K30" s="249">
        <v>120</v>
      </c>
      <c r="L30" s="250" t="s">
        <v>121</v>
      </c>
      <c r="M30" s="251"/>
      <c r="N30" s="251" t="s">
        <v>108</v>
      </c>
      <c r="O30" s="251" t="s">
        <v>122</v>
      </c>
      <c r="P30" s="251" t="s">
        <v>123</v>
      </c>
      <c r="Q30" s="251" t="s">
        <v>124</v>
      </c>
      <c r="R30" s="201"/>
      <c r="S30" s="201"/>
      <c r="T30" s="201"/>
    </row>
    <row r="31" spans="1:23" ht="14.5" x14ac:dyDescent="0.35">
      <c r="A31" s="271"/>
      <c r="B31" s="279"/>
      <c r="C31" s="280">
        <f>SUM(C6:C30)</f>
        <v>-1778795.4545454539</v>
      </c>
      <c r="D31" s="280">
        <f>SUM(D6:D30)</f>
        <v>27379560</v>
      </c>
      <c r="E31" s="280">
        <f>SUM(E6:E30)</f>
        <v>611536.75</v>
      </c>
      <c r="F31" s="279"/>
      <c r="G31" s="281">
        <f>SUM(G4:G30)</f>
        <v>20619457.169341337</v>
      </c>
      <c r="H31" s="201"/>
      <c r="I31" s="252"/>
      <c r="J31" s="253" t="s">
        <v>125</v>
      </c>
      <c r="K31" s="254"/>
      <c r="L31" s="255">
        <f t="shared" ref="L31:L34" si="6">K$30*N31*O31</f>
        <v>561600</v>
      </c>
      <c r="M31" s="254"/>
      <c r="N31" s="256">
        <v>65</v>
      </c>
      <c r="O31" s="256">
        <v>72</v>
      </c>
      <c r="P31" s="256"/>
      <c r="Q31" s="256">
        <v>2033</v>
      </c>
      <c r="R31" s="201"/>
      <c r="S31" s="201"/>
      <c r="T31" s="201"/>
    </row>
    <row r="32" spans="1:23" ht="14" x14ac:dyDescent="0.35">
      <c r="A32" s="201"/>
      <c r="B32" s="206"/>
      <c r="C32" s="206"/>
      <c r="D32" s="206"/>
      <c r="E32" s="206"/>
      <c r="F32" s="206"/>
      <c r="G32" s="206"/>
      <c r="H32" s="201"/>
      <c r="I32" s="252"/>
      <c r="J32" s="253" t="s">
        <v>126</v>
      </c>
      <c r="K32" s="254"/>
      <c r="L32" s="255">
        <f t="shared" si="6"/>
        <v>2016000</v>
      </c>
      <c r="M32" s="254"/>
      <c r="N32" s="256">
        <v>240</v>
      </c>
      <c r="O32" s="256">
        <v>70</v>
      </c>
      <c r="P32" s="256"/>
      <c r="Q32" s="256">
        <v>2023</v>
      </c>
      <c r="R32" s="201"/>
      <c r="S32" s="201"/>
      <c r="T32" s="201"/>
    </row>
    <row r="33" spans="1:20" ht="14" x14ac:dyDescent="0.35">
      <c r="A33" s="201"/>
      <c r="B33" s="206"/>
      <c r="C33" s="206"/>
      <c r="D33" s="206"/>
      <c r="E33" s="206"/>
      <c r="F33" s="206"/>
      <c r="G33" s="206"/>
      <c r="H33" s="201"/>
      <c r="I33" s="252"/>
      <c r="J33" s="253" t="s">
        <v>127</v>
      </c>
      <c r="K33" s="254"/>
      <c r="L33" s="255">
        <f t="shared" si="6"/>
        <v>951600</v>
      </c>
      <c r="M33" s="254"/>
      <c r="N33" s="256">
        <v>122</v>
      </c>
      <c r="O33" s="256">
        <v>65</v>
      </c>
      <c r="P33" s="256"/>
      <c r="Q33" s="256">
        <v>2023</v>
      </c>
      <c r="R33" s="201"/>
      <c r="S33" s="201"/>
      <c r="T33" s="201"/>
    </row>
    <row r="34" spans="1:20" ht="14" x14ac:dyDescent="0.35">
      <c r="A34" s="201"/>
      <c r="B34" s="206"/>
      <c r="C34" s="206"/>
      <c r="D34" s="206"/>
      <c r="E34" s="206"/>
      <c r="F34" s="206"/>
      <c r="G34" s="206"/>
      <c r="H34" s="201"/>
      <c r="I34" s="252"/>
      <c r="J34" s="253" t="s">
        <v>128</v>
      </c>
      <c r="K34" s="254"/>
      <c r="L34" s="255">
        <f t="shared" si="6"/>
        <v>1290000</v>
      </c>
      <c r="M34" s="254"/>
      <c r="N34" s="256">
        <v>215</v>
      </c>
      <c r="O34" s="256">
        <v>50</v>
      </c>
      <c r="P34" s="256"/>
      <c r="Q34" s="256">
        <v>2023</v>
      </c>
      <c r="R34" s="201"/>
      <c r="S34" s="201"/>
      <c r="T34" s="201"/>
    </row>
    <row r="35" spans="1:20" ht="14" x14ac:dyDescent="0.35">
      <c r="A35" s="201"/>
      <c r="B35" s="206"/>
      <c r="C35" s="206"/>
      <c r="D35" s="206"/>
      <c r="E35" s="206"/>
      <c r="F35" s="206"/>
      <c r="G35" s="206"/>
      <c r="H35" s="201"/>
      <c r="I35" s="252" t="s">
        <v>129</v>
      </c>
      <c r="J35" s="253"/>
      <c r="K35" s="254"/>
      <c r="L35" s="255">
        <f>P35*K30</f>
        <v>12595440</v>
      </c>
      <c r="M35" s="254"/>
      <c r="N35" s="256"/>
      <c r="O35" s="256"/>
      <c r="P35" s="253">
        <v>104962</v>
      </c>
      <c r="Q35" s="256">
        <v>2023</v>
      </c>
      <c r="R35" s="201"/>
      <c r="S35" s="201"/>
      <c r="T35" s="201"/>
    </row>
    <row r="36" spans="1:20" ht="14" x14ac:dyDescent="0.35">
      <c r="A36" s="201"/>
      <c r="B36" s="206"/>
      <c r="C36" s="206"/>
      <c r="D36" s="206"/>
      <c r="E36" s="206"/>
      <c r="F36" s="206"/>
      <c r="G36" s="206"/>
      <c r="H36" s="201"/>
      <c r="I36" s="252" t="s">
        <v>130</v>
      </c>
      <c r="J36" s="254"/>
      <c r="K36" s="254"/>
      <c r="L36" s="255">
        <f>K30*P36</f>
        <v>2607360</v>
      </c>
      <c r="M36" s="254"/>
      <c r="N36" s="254"/>
      <c r="O36" s="254"/>
      <c r="P36" s="253">
        <v>21728</v>
      </c>
      <c r="Q36" s="256">
        <v>2023</v>
      </c>
      <c r="R36" s="201"/>
      <c r="S36" s="201"/>
      <c r="T36" s="201"/>
    </row>
    <row r="37" spans="1:20" ht="14" x14ac:dyDescent="0.35">
      <c r="A37" s="201"/>
      <c r="B37" s="206"/>
      <c r="C37" s="206"/>
      <c r="D37" s="206"/>
      <c r="E37" s="206"/>
      <c r="F37" s="206"/>
      <c r="G37" s="206"/>
      <c r="H37" s="201"/>
      <c r="I37" s="252"/>
      <c r="J37" s="254" t="s">
        <v>164</v>
      </c>
      <c r="K37" s="254"/>
      <c r="L37" s="255">
        <f>K30*P37</f>
        <v>3731400</v>
      </c>
      <c r="M37" s="254"/>
      <c r="N37" s="254"/>
      <c r="O37" s="254"/>
      <c r="P37" s="253">
        <v>31095</v>
      </c>
      <c r="Q37" s="256">
        <v>2023</v>
      </c>
      <c r="R37" s="201"/>
      <c r="S37" s="201"/>
      <c r="T37" s="201"/>
    </row>
    <row r="38" spans="1:20" ht="14" x14ac:dyDescent="0.35">
      <c r="A38" s="201"/>
      <c r="B38" s="206"/>
      <c r="C38" s="206"/>
      <c r="D38" s="206"/>
      <c r="E38" s="206"/>
      <c r="F38" s="206"/>
      <c r="G38" s="206"/>
      <c r="H38" s="201"/>
      <c r="I38" s="252"/>
      <c r="J38" s="254" t="s">
        <v>165</v>
      </c>
      <c r="K38" s="254"/>
      <c r="L38" s="255">
        <f>K30*P38</f>
        <v>3626160</v>
      </c>
      <c r="M38" s="254"/>
      <c r="N38" s="254"/>
      <c r="O38" s="254"/>
      <c r="P38" s="253">
        <v>30218</v>
      </c>
      <c r="Q38" s="256">
        <v>2023</v>
      </c>
      <c r="R38" s="201"/>
      <c r="S38" s="201"/>
      <c r="T38" s="201"/>
    </row>
    <row r="39" spans="1:20" ht="14" x14ac:dyDescent="0.35">
      <c r="A39" s="201"/>
      <c r="B39" s="206"/>
      <c r="C39" s="353"/>
      <c r="D39" s="353"/>
      <c r="E39" s="353"/>
      <c r="F39" s="206"/>
      <c r="G39" s="206"/>
      <c r="H39" s="201"/>
      <c r="I39" s="252"/>
      <c r="J39" s="254"/>
      <c r="K39" s="254"/>
      <c r="L39" s="255"/>
      <c r="M39" s="254"/>
      <c r="N39" s="254"/>
      <c r="O39" s="254"/>
      <c r="P39" s="254"/>
      <c r="Q39" s="254"/>
      <c r="R39" s="201"/>
      <c r="S39" s="201"/>
      <c r="T39" s="201"/>
    </row>
    <row r="40" spans="1:20" ht="14.5" x14ac:dyDescent="0.35">
      <c r="A40" s="201"/>
      <c r="B40" s="206"/>
      <c r="C40" s="206"/>
      <c r="D40" s="206"/>
      <c r="E40" s="206"/>
      <c r="F40" s="206"/>
      <c r="G40" s="206"/>
      <c r="H40" s="201"/>
      <c r="I40" s="252">
        <v>2023</v>
      </c>
      <c r="J40" s="253" t="s">
        <v>131</v>
      </c>
      <c r="K40" s="254"/>
      <c r="L40" s="257">
        <f>SUM(L32:L39)</f>
        <v>26817960</v>
      </c>
      <c r="M40" s="254"/>
      <c r="N40" s="254"/>
      <c r="O40" s="254"/>
      <c r="P40" s="254"/>
      <c r="Q40" s="254"/>
      <c r="R40" s="201"/>
      <c r="S40" s="201"/>
      <c r="T40" s="201"/>
    </row>
    <row r="41" spans="1:20" ht="14.5" x14ac:dyDescent="0.35">
      <c r="A41" s="201"/>
      <c r="B41" s="201"/>
      <c r="C41" s="201"/>
      <c r="D41" s="201"/>
      <c r="E41" s="201"/>
      <c r="F41" s="201"/>
      <c r="G41" s="201"/>
      <c r="H41" s="201"/>
      <c r="I41" s="252"/>
      <c r="J41" s="253" t="s">
        <v>132</v>
      </c>
      <c r="K41" s="254"/>
      <c r="L41" s="257">
        <f>(L31)</f>
        <v>561600</v>
      </c>
      <c r="M41" s="254"/>
      <c r="N41" s="254"/>
      <c r="O41" s="254"/>
      <c r="P41" s="254"/>
      <c r="Q41" s="254"/>
      <c r="R41" s="201"/>
      <c r="S41" s="201"/>
      <c r="T41" s="201"/>
    </row>
    <row r="42" spans="1:20" ht="15" thickBot="1" x14ac:dyDescent="0.4">
      <c r="A42" s="201"/>
      <c r="B42" s="201"/>
      <c r="C42" s="201"/>
      <c r="D42" s="201"/>
      <c r="E42" s="201"/>
      <c r="F42" s="201"/>
      <c r="G42" s="201"/>
      <c r="H42" s="201"/>
      <c r="I42" s="258"/>
      <c r="J42" s="259"/>
      <c r="K42" s="260"/>
      <c r="L42" s="261"/>
      <c r="M42" s="260"/>
      <c r="N42" s="260"/>
      <c r="O42" s="260"/>
      <c r="P42" s="260"/>
      <c r="Q42" s="260"/>
      <c r="R42" s="201"/>
      <c r="S42" s="201"/>
      <c r="T42" s="201"/>
    </row>
    <row r="43" spans="1:20" ht="14" x14ac:dyDescent="0.35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/>
    </row>
    <row r="44" spans="1:20" ht="14" x14ac:dyDescent="0.35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1"/>
      <c r="T44" s="201"/>
    </row>
    <row r="45" spans="1:20" ht="14" x14ac:dyDescent="0.35">
      <c r="A45" s="201"/>
      <c r="B45" s="201"/>
      <c r="C45" s="201"/>
      <c r="D45" s="201"/>
      <c r="E45" s="201"/>
      <c r="F45" s="201"/>
      <c r="G45" s="201"/>
      <c r="H45" s="201"/>
      <c r="I45" s="269" t="s">
        <v>187</v>
      </c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/>
    </row>
    <row r="46" spans="1:20" ht="14" x14ac:dyDescent="0.35">
      <c r="A46" s="201"/>
      <c r="B46" s="201"/>
      <c r="C46" s="201"/>
      <c r="D46" s="201"/>
      <c r="E46" s="201"/>
      <c r="F46" s="201"/>
      <c r="G46" s="201"/>
      <c r="H46" s="201"/>
      <c r="I46" s="264" t="s">
        <v>179</v>
      </c>
      <c r="J46" s="264" t="s">
        <v>108</v>
      </c>
      <c r="K46" s="264" t="s">
        <v>109</v>
      </c>
      <c r="L46" s="264" t="s">
        <v>180</v>
      </c>
      <c r="M46" s="264" t="s">
        <v>181</v>
      </c>
      <c r="N46" s="264" t="s">
        <v>182</v>
      </c>
      <c r="O46" s="264" t="s">
        <v>123</v>
      </c>
      <c r="P46" s="270" t="s">
        <v>188</v>
      </c>
      <c r="Q46" s="201"/>
      <c r="R46" s="201"/>
      <c r="S46" s="201"/>
      <c r="T46" s="201"/>
    </row>
    <row r="47" spans="1:20" ht="27" x14ac:dyDescent="0.35">
      <c r="A47" s="201"/>
      <c r="B47" s="201"/>
      <c r="C47" s="201"/>
      <c r="D47" s="201"/>
      <c r="E47" s="201"/>
      <c r="F47" s="201"/>
      <c r="G47" s="201"/>
      <c r="H47" s="201"/>
      <c r="I47" s="265" t="s">
        <v>183</v>
      </c>
      <c r="J47" s="266">
        <v>600</v>
      </c>
      <c r="K47" s="266">
        <v>4</v>
      </c>
      <c r="L47" s="266">
        <v>12</v>
      </c>
      <c r="M47" s="266">
        <v>2</v>
      </c>
      <c r="N47" s="266">
        <v>10</v>
      </c>
      <c r="O47" s="267">
        <v>40800</v>
      </c>
      <c r="P47" s="268">
        <f>O47*1.1*1.25*1.03</f>
        <v>57783</v>
      </c>
      <c r="Q47" s="201"/>
      <c r="R47" s="201"/>
      <c r="S47" s="201"/>
      <c r="T47" s="201"/>
    </row>
    <row r="48" spans="1:20" ht="27" x14ac:dyDescent="0.35">
      <c r="A48" s="201"/>
      <c r="B48" s="201"/>
      <c r="C48" s="201"/>
      <c r="D48" s="201"/>
      <c r="E48" s="201"/>
      <c r="F48" s="201"/>
      <c r="G48" s="201"/>
      <c r="H48" s="201"/>
      <c r="I48" s="265" t="s">
        <v>184</v>
      </c>
      <c r="J48" s="266">
        <v>825</v>
      </c>
      <c r="K48" s="266">
        <v>8</v>
      </c>
      <c r="L48" s="266">
        <v>12</v>
      </c>
      <c r="M48" s="266">
        <v>4</v>
      </c>
      <c r="N48" s="266">
        <v>10</v>
      </c>
      <c r="O48" s="267">
        <v>112200</v>
      </c>
      <c r="P48" s="268">
        <f t="shared" ref="P48:P50" si="7">O48*1.1*1.25*1.03</f>
        <v>158903.25000000003</v>
      </c>
      <c r="Q48" s="201"/>
      <c r="R48" s="201"/>
      <c r="S48" s="201"/>
      <c r="T48" s="201"/>
    </row>
    <row r="49" spans="1:20" ht="14" x14ac:dyDescent="0.35">
      <c r="A49" s="201"/>
      <c r="B49" s="201"/>
      <c r="C49" s="201"/>
      <c r="D49" s="201"/>
      <c r="E49" s="201"/>
      <c r="F49" s="201"/>
      <c r="G49" s="201"/>
      <c r="H49" s="201"/>
      <c r="I49" s="265" t="s">
        <v>185</v>
      </c>
      <c r="J49" s="266">
        <v>625</v>
      </c>
      <c r="K49" s="266">
        <v>8</v>
      </c>
      <c r="L49" s="266">
        <v>12</v>
      </c>
      <c r="M49" s="266">
        <v>4</v>
      </c>
      <c r="N49" s="266">
        <v>10</v>
      </c>
      <c r="O49" s="267">
        <v>85000</v>
      </c>
      <c r="P49" s="268">
        <f t="shared" si="7"/>
        <v>120381.25000000001</v>
      </c>
      <c r="Q49" s="201"/>
      <c r="R49" s="201"/>
      <c r="S49" s="201"/>
      <c r="T49" s="201"/>
    </row>
    <row r="50" spans="1:20" ht="27" x14ac:dyDescent="0.35">
      <c r="A50" s="201"/>
      <c r="B50" s="201"/>
      <c r="C50" s="201"/>
      <c r="D50" s="201"/>
      <c r="E50" s="201"/>
      <c r="F50" s="201"/>
      <c r="G50" s="201"/>
      <c r="H50" s="201"/>
      <c r="I50" s="265" t="s">
        <v>186</v>
      </c>
      <c r="J50" s="266">
        <v>3125</v>
      </c>
      <c r="K50" s="266">
        <v>6</v>
      </c>
      <c r="L50" s="266">
        <v>12</v>
      </c>
      <c r="M50" s="266">
        <v>4</v>
      </c>
      <c r="N50" s="266">
        <v>8</v>
      </c>
      <c r="O50" s="267">
        <v>325000</v>
      </c>
      <c r="P50" s="268">
        <f t="shared" si="7"/>
        <v>460281.25</v>
      </c>
      <c r="Q50" s="201"/>
      <c r="R50" s="201"/>
      <c r="S50" s="201"/>
      <c r="T50" s="201"/>
    </row>
    <row r="51" spans="1:20" ht="14" x14ac:dyDescent="0.35">
      <c r="A51" s="201"/>
      <c r="B51" s="354"/>
      <c r="C51" s="354"/>
      <c r="D51" s="354"/>
      <c r="E51" s="354"/>
      <c r="F51" s="201"/>
      <c r="G51" s="201"/>
      <c r="H51" s="201"/>
      <c r="I51" s="201"/>
      <c r="J51" s="201"/>
      <c r="K51" s="201"/>
      <c r="L51" s="201"/>
      <c r="M51" s="201"/>
      <c r="N51" s="201"/>
      <c r="O51" s="263">
        <f>SUM(O47:O50)</f>
        <v>563000</v>
      </c>
      <c r="P51" s="262">
        <f>SUM(P47:P50)</f>
        <v>797348.75</v>
      </c>
      <c r="Q51" s="201"/>
      <c r="R51" s="201"/>
      <c r="S51" s="201"/>
      <c r="T51" s="201"/>
    </row>
    <row r="52" spans="1:20" ht="14" x14ac:dyDescent="0.35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</row>
    <row r="53" spans="1:20" ht="14" x14ac:dyDescent="0.35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</row>
    <row r="54" spans="1:20" ht="14" x14ac:dyDescent="0.3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</row>
    <row r="61" spans="1:20" ht="12.75" customHeight="1" x14ac:dyDescent="0.3"/>
    <row r="62" spans="1:20" ht="12.75" customHeight="1" x14ac:dyDescent="0.3"/>
  </sheetData>
  <mergeCells count="3">
    <mergeCell ref="B2:F2"/>
    <mergeCell ref="C39:E39"/>
    <mergeCell ref="B51:E5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D426FF5F3E84483CC588508B82919" ma:contentTypeVersion="1" ma:contentTypeDescription="Create a new document." ma:contentTypeScope="" ma:versionID="39cd956dfdfad9191af0f1f0a3b84ae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701b696f40f16c408de407e54b731f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D26DDB-AD86-4CF4-A94D-034D7B64A2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74CA99-A6CC-42C6-B9C1-B081E68A8F1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397C64-365C-4971-9944-9095CAF67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Cost Benefit Analysis Summary</vt:lpstr>
      <vt:lpstr> Delay Reduction</vt:lpstr>
      <vt:lpstr>Operating Cost Savings</vt:lpstr>
      <vt:lpstr>Safety Summary</vt:lpstr>
      <vt:lpstr>Other Emissions Reduction</vt:lpstr>
      <vt:lpstr>NHTS2009</vt:lpstr>
      <vt:lpstr>StreetLight Insight 2019</vt:lpstr>
      <vt:lpstr>BikePed</vt:lpstr>
      <vt:lpstr>Operations and Maintenance</vt:lpstr>
      <vt:lpstr>Tree</vt:lpstr>
      <vt:lpstr>Previous Costs</vt:lpstr>
      <vt:lpstr>Future Project Costs</vt:lpstr>
      <vt:lpstr>Monitized 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EW Connector Benefit Cost Analysis</dc:title>
  <dc:creator>govintern</dc:creator>
  <cp:lastModifiedBy>Andrew Shepler</cp:lastModifiedBy>
  <dcterms:created xsi:type="dcterms:W3CDTF">2010-08-11T14:19:00Z</dcterms:created>
  <dcterms:modified xsi:type="dcterms:W3CDTF">2021-03-19T12:12:34Z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0x010100BFDD426FF5F3E84483CC588508B82919</vt:lpwstr>
  </property>
</Properties>
</file>